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10" windowWidth="27795" windowHeight="10125"/>
  </bookViews>
  <sheets>
    <sheet name="2023 stawki dotacji" sheetId="1" r:id="rId1"/>
  </sheets>
  <definedNames>
    <definedName name="_xlnm.Print_Area" localSheetId="0">'2023 stawki dotacji'!$A$1:$X$140</definedName>
  </definedNames>
  <calcPr calcId="145621"/>
</workbook>
</file>

<file path=xl/calcChain.xml><?xml version="1.0" encoding="utf-8"?>
<calcChain xmlns="http://schemas.openxmlformats.org/spreadsheetml/2006/main">
  <c r="G78" i="1" l="1"/>
  <c r="G77" i="1"/>
  <c r="G76" i="1"/>
  <c r="G75" i="1"/>
  <c r="G74" i="1"/>
  <c r="G73" i="1"/>
  <c r="G72" i="1"/>
  <c r="G71" i="1"/>
  <c r="G70" i="1"/>
  <c r="G69" i="1"/>
  <c r="G68" i="1"/>
  <c r="G67" i="1"/>
  <c r="G66" i="1"/>
  <c r="G65" i="1"/>
  <c r="G64" i="1"/>
  <c r="G63" i="1"/>
  <c r="G62" i="1"/>
  <c r="G61" i="1"/>
  <c r="G60" i="1"/>
  <c r="G59" i="1"/>
  <c r="G58" i="1"/>
  <c r="G57" i="1"/>
  <c r="G138" i="1" l="1"/>
  <c r="G104" i="1"/>
  <c r="G102" i="1"/>
  <c r="G93" i="1"/>
  <c r="G91" i="1"/>
  <c r="G89" i="1"/>
  <c r="G87" i="1"/>
  <c r="G85" i="1"/>
  <c r="G83" i="1"/>
  <c r="G81" i="1" l="1"/>
  <c r="P141" i="1" l="1"/>
  <c r="P115" i="1"/>
  <c r="P117" i="1"/>
  <c r="P119" i="1"/>
  <c r="P121" i="1"/>
  <c r="P124" i="1"/>
  <c r="P132" i="1"/>
  <c r="P134" i="1"/>
  <c r="P41" i="1"/>
  <c r="N8" i="1" l="1"/>
  <c r="O97" i="1" l="1"/>
  <c r="P97" i="1" s="1"/>
  <c r="O98" i="1"/>
  <c r="P98" i="1" s="1"/>
  <c r="O101" i="1"/>
  <c r="P101" i="1" s="1"/>
  <c r="N81" i="1"/>
  <c r="N82" i="1"/>
  <c r="N83" i="1"/>
  <c r="N84" i="1"/>
  <c r="N85" i="1"/>
  <c r="N86" i="1"/>
  <c r="N87" i="1"/>
  <c r="N88" i="1"/>
  <c r="N89" i="1"/>
  <c r="N90" i="1"/>
  <c r="N91" i="1"/>
  <c r="N92" i="1"/>
  <c r="N93" i="1"/>
  <c r="N94" i="1"/>
  <c r="N95" i="1"/>
  <c r="O95" i="1" s="1"/>
  <c r="P95" i="1" s="1"/>
  <c r="N96" i="1"/>
  <c r="O96" i="1" s="1"/>
  <c r="P96" i="1" s="1"/>
  <c r="N97" i="1"/>
  <c r="N98" i="1"/>
  <c r="N99" i="1"/>
  <c r="O99" i="1" s="1"/>
  <c r="P99" i="1" s="1"/>
  <c r="N100" i="1"/>
  <c r="O100" i="1" s="1"/>
  <c r="P100" i="1" s="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2" i="1"/>
  <c r="N133" i="1"/>
  <c r="N134" i="1"/>
  <c r="N135" i="1"/>
  <c r="N136" i="1"/>
  <c r="N137" i="1"/>
  <c r="N138" i="1"/>
  <c r="N139" i="1"/>
  <c r="N80"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16" i="1"/>
  <c r="N17" i="1"/>
  <c r="N18" i="1"/>
  <c r="N19" i="1"/>
  <c r="N20" i="1"/>
  <c r="N21" i="1"/>
  <c r="N22" i="1"/>
  <c r="N23" i="1"/>
  <c r="O23" i="1" s="1"/>
  <c r="P23" i="1" s="1"/>
  <c r="N24" i="1"/>
  <c r="N25" i="1"/>
  <c r="N11" i="1"/>
  <c r="N12" i="1"/>
  <c r="N13" i="1"/>
  <c r="N14" i="1"/>
  <c r="N15" i="1"/>
  <c r="N10" i="1"/>
  <c r="N9" i="1"/>
  <c r="H8" i="1"/>
  <c r="O8" i="1" s="1"/>
  <c r="P8" i="1" s="1"/>
  <c r="N63" i="1" l="1"/>
  <c r="N78" i="1" l="1"/>
  <c r="N77" i="1"/>
  <c r="N76" i="1"/>
  <c r="N75" i="1"/>
  <c r="N74" i="1"/>
  <c r="N73" i="1"/>
  <c r="N72" i="1"/>
  <c r="N71" i="1"/>
  <c r="N70" i="1"/>
  <c r="N69" i="1"/>
  <c r="N68" i="1"/>
  <c r="N67" i="1"/>
  <c r="N66" i="1"/>
  <c r="N65" i="1"/>
  <c r="N64" i="1"/>
  <c r="N62" i="1"/>
  <c r="N61" i="1"/>
  <c r="N60" i="1"/>
  <c r="N59" i="1"/>
  <c r="N58" i="1"/>
  <c r="N57" i="1"/>
  <c r="H127" i="1" l="1"/>
  <c r="O127" i="1" s="1"/>
  <c r="P127" i="1" s="1"/>
  <c r="H123" i="1"/>
  <c r="O123" i="1" s="1"/>
  <c r="P123" i="1" s="1"/>
  <c r="H122" i="1"/>
  <c r="O122" i="1" s="1"/>
  <c r="P122" i="1" s="1"/>
  <c r="H120" i="1"/>
  <c r="O120" i="1" s="1"/>
  <c r="P120" i="1" s="1"/>
  <c r="H118" i="1"/>
  <c r="O118" i="1" s="1"/>
  <c r="P118" i="1" s="1"/>
  <c r="H116" i="1"/>
  <c r="O116" i="1" s="1"/>
  <c r="P116" i="1" s="1"/>
  <c r="O110" i="1"/>
  <c r="P110" i="1" s="1"/>
  <c r="H106" i="1"/>
  <c r="H103" i="1"/>
  <c r="O103" i="1" s="1"/>
  <c r="P103" i="1" s="1"/>
  <c r="H94" i="1"/>
  <c r="O94" i="1" s="1"/>
  <c r="P94" i="1" s="1"/>
  <c r="H92" i="1"/>
  <c r="O92" i="1" s="1"/>
  <c r="P92" i="1" s="1"/>
  <c r="H90" i="1"/>
  <c r="O90" i="1" s="1"/>
  <c r="P90" i="1" s="1"/>
  <c r="H88" i="1"/>
  <c r="O88" i="1" s="1"/>
  <c r="P88" i="1" s="1"/>
  <c r="H86" i="1"/>
  <c r="O86" i="1" s="1"/>
  <c r="P86" i="1" s="1"/>
  <c r="H84" i="1"/>
  <c r="O84" i="1" s="1"/>
  <c r="P84" i="1" s="1"/>
  <c r="H82" i="1"/>
  <c r="O82" i="1" s="1"/>
  <c r="P82" i="1" s="1"/>
  <c r="H80" i="1"/>
  <c r="O80" i="1" s="1"/>
  <c r="P80" i="1" s="1"/>
  <c r="H78" i="1"/>
  <c r="O78" i="1" s="1"/>
  <c r="P78" i="1" s="1"/>
  <c r="H77" i="1"/>
  <c r="O77" i="1" s="1"/>
  <c r="P77" i="1" s="1"/>
  <c r="H76" i="1"/>
  <c r="O76" i="1" s="1"/>
  <c r="P76" i="1" s="1"/>
  <c r="H75" i="1"/>
  <c r="O75" i="1" s="1"/>
  <c r="P75" i="1" s="1"/>
  <c r="H74" i="1"/>
  <c r="O74" i="1" s="1"/>
  <c r="P74" i="1" s="1"/>
  <c r="H73" i="1"/>
  <c r="O73" i="1" s="1"/>
  <c r="P73" i="1" s="1"/>
  <c r="H72" i="1"/>
  <c r="O72" i="1" s="1"/>
  <c r="P72" i="1" s="1"/>
  <c r="H71" i="1"/>
  <c r="O71" i="1" s="1"/>
  <c r="P71" i="1" s="1"/>
  <c r="H70" i="1"/>
  <c r="O70" i="1" s="1"/>
  <c r="P70" i="1" s="1"/>
  <c r="H69" i="1"/>
  <c r="O69" i="1" s="1"/>
  <c r="P69" i="1" s="1"/>
  <c r="H68" i="1"/>
  <c r="O68" i="1" s="1"/>
  <c r="P68" i="1" s="1"/>
  <c r="H67" i="1"/>
  <c r="O67" i="1" s="1"/>
  <c r="P67" i="1" s="1"/>
  <c r="H66" i="1"/>
  <c r="O66" i="1" s="1"/>
  <c r="P66" i="1" s="1"/>
  <c r="H65" i="1"/>
  <c r="O65" i="1" s="1"/>
  <c r="P65" i="1" s="1"/>
  <c r="H64" i="1"/>
  <c r="O64" i="1" s="1"/>
  <c r="P64" i="1" s="1"/>
  <c r="H63" i="1"/>
  <c r="O63" i="1" s="1"/>
  <c r="P63" i="1" s="1"/>
  <c r="H62" i="1"/>
  <c r="O62" i="1" s="1"/>
  <c r="P62" i="1" s="1"/>
  <c r="H61" i="1"/>
  <c r="O61" i="1" s="1"/>
  <c r="P61" i="1" s="1"/>
  <c r="H60" i="1"/>
  <c r="O60" i="1" s="1"/>
  <c r="P60" i="1" s="1"/>
  <c r="H59" i="1"/>
  <c r="O59" i="1" s="1"/>
  <c r="P59" i="1" s="1"/>
  <c r="H58" i="1"/>
  <c r="O58" i="1" s="1"/>
  <c r="P58" i="1" s="1"/>
  <c r="H57" i="1"/>
  <c r="O57" i="1" s="1"/>
  <c r="P57" i="1" s="1"/>
  <c r="H55" i="1"/>
  <c r="O55" i="1" s="1"/>
  <c r="P55" i="1" s="1"/>
  <c r="H54" i="1"/>
  <c r="O54" i="1" s="1"/>
  <c r="P54" i="1" s="1"/>
  <c r="H53" i="1"/>
  <c r="O53" i="1" s="1"/>
  <c r="P53" i="1" s="1"/>
  <c r="H52" i="1"/>
  <c r="O52" i="1" s="1"/>
  <c r="P52" i="1" s="1"/>
  <c r="H51" i="1"/>
  <c r="O51" i="1" s="1"/>
  <c r="P51" i="1" s="1"/>
  <c r="H50" i="1"/>
  <c r="O50" i="1" s="1"/>
  <c r="P50" i="1" s="1"/>
  <c r="H49" i="1"/>
  <c r="O49" i="1" s="1"/>
  <c r="P49" i="1" s="1"/>
  <c r="H48" i="1"/>
  <c r="O48" i="1" s="1"/>
  <c r="P48" i="1" s="1"/>
  <c r="H47" i="1"/>
  <c r="O47" i="1" s="1"/>
  <c r="P47" i="1" s="1"/>
  <c r="H46" i="1"/>
  <c r="O46" i="1" s="1"/>
  <c r="P46" i="1" s="1"/>
  <c r="H45" i="1"/>
  <c r="O45" i="1" s="1"/>
  <c r="P45" i="1" s="1"/>
  <c r="H44" i="1"/>
  <c r="O44" i="1" s="1"/>
  <c r="P44" i="1" s="1"/>
  <c r="H43" i="1"/>
  <c r="O43" i="1" s="1"/>
  <c r="P43" i="1" s="1"/>
  <c r="H42" i="1"/>
  <c r="O42" i="1" s="1"/>
  <c r="P42" i="1" s="1"/>
  <c r="H41" i="1"/>
  <c r="H40" i="1"/>
  <c r="O40" i="1" s="1"/>
  <c r="P40" i="1" s="1"/>
  <c r="H39" i="1"/>
  <c r="O39" i="1" s="1"/>
  <c r="P39" i="1" s="1"/>
  <c r="H38" i="1"/>
  <c r="O38" i="1" s="1"/>
  <c r="P38" i="1" s="1"/>
  <c r="H37" i="1"/>
  <c r="O37" i="1" s="1"/>
  <c r="P37" i="1" s="1"/>
  <c r="H36" i="1"/>
  <c r="O36" i="1" s="1"/>
  <c r="P36" i="1" s="1"/>
  <c r="H35" i="1"/>
  <c r="O35" i="1" s="1"/>
  <c r="P35" i="1" s="1"/>
  <c r="H34" i="1"/>
  <c r="O34" i="1" s="1"/>
  <c r="P34" i="1" s="1"/>
  <c r="H33" i="1"/>
  <c r="O33" i="1" s="1"/>
  <c r="P33" i="1" s="1"/>
  <c r="H32" i="1"/>
  <c r="O32" i="1" s="1"/>
  <c r="P32" i="1" s="1"/>
  <c r="H31" i="1"/>
  <c r="O31" i="1" s="1"/>
  <c r="P31" i="1" s="1"/>
  <c r="H30" i="1"/>
  <c r="O30" i="1" s="1"/>
  <c r="P30" i="1" s="1"/>
  <c r="H29" i="1"/>
  <c r="O29" i="1" s="1"/>
  <c r="P29" i="1" s="1"/>
  <c r="H28" i="1"/>
  <c r="P28" i="1" s="1"/>
  <c r="H27" i="1"/>
  <c r="O27" i="1" s="1"/>
  <c r="P27" i="1" s="1"/>
  <c r="H25" i="1"/>
  <c r="O25" i="1" s="1"/>
  <c r="P25" i="1" s="1"/>
  <c r="H24" i="1"/>
  <c r="O24" i="1" s="1"/>
  <c r="P24" i="1" s="1"/>
  <c r="H22" i="1"/>
  <c r="O22" i="1" s="1"/>
  <c r="P22" i="1" s="1"/>
  <c r="H21" i="1"/>
  <c r="O21" i="1" s="1"/>
  <c r="P21" i="1" s="1"/>
  <c r="H20" i="1"/>
  <c r="O20" i="1" s="1"/>
  <c r="P20" i="1" s="1"/>
  <c r="H19" i="1"/>
  <c r="O19" i="1" s="1"/>
  <c r="P19" i="1" s="1"/>
  <c r="H18" i="1"/>
  <c r="O18" i="1" s="1"/>
  <c r="P18" i="1" s="1"/>
  <c r="H15" i="1"/>
  <c r="O15" i="1" s="1"/>
  <c r="P15" i="1" s="1"/>
  <c r="H13" i="1"/>
  <c r="O13" i="1" s="1"/>
  <c r="P13" i="1" s="1"/>
  <c r="H12" i="1"/>
  <c r="O12" i="1" s="1"/>
  <c r="P12" i="1" s="1"/>
  <c r="H11" i="1"/>
  <c r="O11" i="1" s="1"/>
  <c r="P11" i="1" s="1"/>
  <c r="H10" i="1"/>
  <c r="O10" i="1" s="1"/>
  <c r="P10" i="1" s="1"/>
  <c r="H9" i="1"/>
  <c r="O9" i="1" s="1"/>
  <c r="P9" i="1" s="1"/>
  <c r="H137" i="1" l="1"/>
  <c r="O137" i="1" s="1"/>
  <c r="P137" i="1" s="1"/>
  <c r="H139" i="1"/>
  <c r="O139" i="1" s="1"/>
  <c r="P139" i="1" s="1"/>
  <c r="H138" i="1"/>
  <c r="O138" i="1" s="1"/>
  <c r="P138" i="1" s="1"/>
  <c r="H133" i="1"/>
  <c r="O133" i="1" s="1"/>
  <c r="P133" i="1" s="1"/>
  <c r="H129" i="1"/>
  <c r="O129" i="1" s="1"/>
  <c r="P129" i="1" s="1"/>
  <c r="H128" i="1"/>
  <c r="O128" i="1" s="1"/>
  <c r="P128" i="1" s="1"/>
  <c r="H104" i="1"/>
  <c r="O104" i="1" s="1"/>
  <c r="P104" i="1" s="1"/>
  <c r="H102" i="1"/>
  <c r="O102" i="1" s="1"/>
  <c r="P102" i="1" s="1"/>
  <c r="H93" i="1"/>
  <c r="O93" i="1" s="1"/>
  <c r="P93" i="1" s="1"/>
  <c r="H91" i="1"/>
  <c r="O91" i="1" s="1"/>
  <c r="P91" i="1" s="1"/>
  <c r="H89" i="1"/>
  <c r="O89" i="1" s="1"/>
  <c r="P89" i="1" s="1"/>
  <c r="H87" i="1"/>
  <c r="O87" i="1" s="1"/>
  <c r="P87" i="1" s="1"/>
  <c r="H85" i="1"/>
  <c r="O85" i="1" s="1"/>
  <c r="P85" i="1" s="1"/>
  <c r="H83" i="1"/>
  <c r="O83" i="1" s="1"/>
  <c r="P83" i="1" s="1"/>
  <c r="H81" i="1"/>
  <c r="O81" i="1" s="1"/>
  <c r="P81" i="1" s="1"/>
  <c r="H140" i="1" l="1"/>
  <c r="F140" i="1"/>
  <c r="J139" i="1"/>
  <c r="J137" i="1"/>
  <c r="F137" i="1"/>
  <c r="H136" i="1"/>
  <c r="F136" i="1"/>
  <c r="H135" i="1"/>
  <c r="F135" i="1"/>
  <c r="J134" i="1"/>
  <c r="J133" i="1"/>
  <c r="G131" i="1"/>
  <c r="N131" i="1" s="1"/>
  <c r="H130" i="1"/>
  <c r="J129" i="1"/>
  <c r="F129" i="1"/>
  <c r="J128" i="1"/>
  <c r="F128" i="1"/>
  <c r="J127" i="1"/>
  <c r="F127" i="1"/>
  <c r="H126" i="1"/>
  <c r="F126" i="1"/>
  <c r="H125" i="1"/>
  <c r="F125" i="1"/>
  <c r="J124" i="1"/>
  <c r="J123" i="1"/>
  <c r="F123" i="1"/>
  <c r="J122" i="1"/>
  <c r="F122" i="1"/>
  <c r="J121" i="1"/>
  <c r="J120" i="1"/>
  <c r="F120" i="1"/>
  <c r="J119" i="1"/>
  <c r="J118" i="1"/>
  <c r="F118" i="1"/>
  <c r="J117" i="1"/>
  <c r="J116" i="1"/>
  <c r="F116" i="1"/>
  <c r="J115" i="1"/>
  <c r="F114" i="1"/>
  <c r="H113" i="1"/>
  <c r="H114" i="1"/>
  <c r="F110" i="1"/>
  <c r="J109" i="1"/>
  <c r="F108" i="1"/>
  <c r="J106" i="1"/>
  <c r="F106" i="1"/>
  <c r="J105" i="1"/>
  <c r="J103" i="1"/>
  <c r="F94" i="1"/>
  <c r="J98" i="1"/>
  <c r="F90" i="1"/>
  <c r="J97" i="1"/>
  <c r="J96" i="1"/>
  <c r="F86" i="1"/>
  <c r="J82" i="1"/>
  <c r="F82" i="1"/>
  <c r="J80" i="1"/>
  <c r="F80" i="1"/>
  <c r="J79" i="1"/>
  <c r="J78" i="1"/>
  <c r="J77" i="1"/>
  <c r="F77" i="1"/>
  <c r="J76" i="1"/>
  <c r="J75" i="1"/>
  <c r="F75" i="1"/>
  <c r="J74" i="1"/>
  <c r="J73" i="1"/>
  <c r="F73" i="1"/>
  <c r="J72" i="1"/>
  <c r="J71" i="1"/>
  <c r="F71" i="1"/>
  <c r="J70" i="1"/>
  <c r="J69" i="1"/>
  <c r="F69" i="1"/>
  <c r="J68" i="1"/>
  <c r="J67" i="1"/>
  <c r="F67" i="1"/>
  <c r="J66" i="1"/>
  <c r="J65" i="1"/>
  <c r="F65" i="1"/>
  <c r="J64" i="1"/>
  <c r="J63" i="1"/>
  <c r="F63" i="1"/>
  <c r="J62" i="1"/>
  <c r="J61" i="1"/>
  <c r="F61" i="1"/>
  <c r="J60" i="1"/>
  <c r="J59" i="1"/>
  <c r="J58" i="1"/>
  <c r="J57" i="1"/>
  <c r="F57" i="1"/>
  <c r="J56" i="1"/>
  <c r="J55" i="1"/>
  <c r="J54" i="1"/>
  <c r="J53" i="1"/>
  <c r="F53" i="1"/>
  <c r="J52" i="1"/>
  <c r="J51" i="1"/>
  <c r="F51" i="1"/>
  <c r="J50" i="1"/>
  <c r="F50" i="1"/>
  <c r="J49" i="1"/>
  <c r="J48" i="1"/>
  <c r="F48" i="1"/>
  <c r="J47" i="1"/>
  <c r="F47" i="1"/>
  <c r="J46" i="1"/>
  <c r="J45" i="1"/>
  <c r="F45" i="1"/>
  <c r="J44" i="1"/>
  <c r="F44" i="1"/>
  <c r="J43" i="1"/>
  <c r="J42" i="1"/>
  <c r="F42" i="1"/>
  <c r="J41" i="1"/>
  <c r="F41" i="1"/>
  <c r="J40" i="1"/>
  <c r="J39" i="1"/>
  <c r="F39" i="1"/>
  <c r="J38" i="1"/>
  <c r="F38" i="1"/>
  <c r="J37" i="1"/>
  <c r="F37" i="1"/>
  <c r="J36" i="1"/>
  <c r="F36" i="1"/>
  <c r="J35" i="1"/>
  <c r="F35" i="1"/>
  <c r="J34" i="1"/>
  <c r="F34" i="1"/>
  <c r="J33" i="1"/>
  <c r="F33" i="1"/>
  <c r="J32" i="1"/>
  <c r="J31" i="1"/>
  <c r="F31" i="1"/>
  <c r="J30" i="1"/>
  <c r="F30" i="1"/>
  <c r="J29" i="1"/>
  <c r="F29" i="1"/>
  <c r="J28" i="1"/>
  <c r="F28" i="1"/>
  <c r="J27" i="1"/>
  <c r="F27" i="1"/>
  <c r="J26" i="1"/>
  <c r="J25" i="1"/>
  <c r="F25" i="1"/>
  <c r="J24" i="1"/>
  <c r="F24" i="1"/>
  <c r="J23" i="1"/>
  <c r="F23" i="1"/>
  <c r="J22" i="1"/>
  <c r="F22" i="1"/>
  <c r="J21" i="1"/>
  <c r="F21" i="1"/>
  <c r="J20" i="1"/>
  <c r="F20" i="1"/>
  <c r="J19" i="1"/>
  <c r="F19" i="1"/>
  <c r="J18" i="1"/>
  <c r="F18" i="1"/>
  <c r="J17" i="1"/>
  <c r="F17" i="1"/>
  <c r="J16" i="1"/>
  <c r="J15" i="1"/>
  <c r="F15" i="1"/>
  <c r="F14" i="1"/>
  <c r="J13" i="1"/>
  <c r="F13" i="1"/>
  <c r="J12" i="1"/>
  <c r="F12" i="1"/>
  <c r="J11" i="1"/>
  <c r="F11" i="1"/>
  <c r="J10" i="1"/>
  <c r="F10" i="1"/>
  <c r="J9" i="1"/>
  <c r="F9" i="1"/>
  <c r="J8" i="1"/>
  <c r="F8" i="1"/>
  <c r="J7" i="1"/>
  <c r="F7" i="1"/>
  <c r="J113" i="1" l="1"/>
  <c r="O113" i="1"/>
  <c r="P113" i="1" s="1"/>
  <c r="J114" i="1"/>
  <c r="O114" i="1"/>
  <c r="P114" i="1" s="1"/>
  <c r="J140" i="1"/>
  <c r="O140" i="1"/>
  <c r="P140" i="1" s="1"/>
  <c r="J135" i="1"/>
  <c r="O135" i="1"/>
  <c r="P135" i="1" s="1"/>
  <c r="J130" i="1"/>
  <c r="O130" i="1"/>
  <c r="P130" i="1" s="1"/>
  <c r="J126" i="1"/>
  <c r="O126" i="1"/>
  <c r="P126" i="1" s="1"/>
  <c r="J125" i="1"/>
  <c r="O125" i="1"/>
  <c r="P125" i="1" s="1"/>
  <c r="J136" i="1"/>
  <c r="O136" i="1"/>
  <c r="P136" i="1" s="1"/>
  <c r="H131" i="1"/>
  <c r="O131" i="1" s="1"/>
  <c r="P131" i="1" s="1"/>
  <c r="H14" i="1"/>
  <c r="J86" i="1"/>
  <c r="J100" i="1"/>
  <c r="H108" i="1"/>
  <c r="O108" i="1" s="1"/>
  <c r="P108" i="1" s="1"/>
  <c r="H107" i="1"/>
  <c r="O107" i="1" s="1"/>
  <c r="P107" i="1" s="1"/>
  <c r="J99" i="1"/>
  <c r="J101" i="1"/>
  <c r="J95" i="1"/>
  <c r="J90" i="1"/>
  <c r="J94" i="1"/>
  <c r="J84" i="1"/>
  <c r="J88" i="1"/>
  <c r="J92" i="1"/>
  <c r="J110" i="1"/>
  <c r="J14" i="1" l="1"/>
  <c r="O14" i="1"/>
  <c r="P14" i="1" s="1"/>
  <c r="J131" i="1"/>
  <c r="J108" i="1"/>
  <c r="H112" i="1"/>
  <c r="H111" i="1"/>
  <c r="J107" i="1"/>
  <c r="J112" i="1" l="1"/>
  <c r="O112" i="1"/>
  <c r="P112" i="1" s="1"/>
  <c r="J111" i="1"/>
  <c r="O111" i="1"/>
  <c r="P111" i="1" s="1"/>
</calcChain>
</file>

<file path=xl/sharedStrings.xml><?xml version="1.0" encoding="utf-8"?>
<sst xmlns="http://schemas.openxmlformats.org/spreadsheetml/2006/main" count="264" uniqueCount="214">
  <si>
    <t>14.01.2019 r.</t>
  </si>
  <si>
    <t>A</t>
  </si>
  <si>
    <t>DI</t>
  </si>
  <si>
    <t>stawka 2019 rok styczeń</t>
  </si>
  <si>
    <t>Róznice w stawkach między 2019 a 2018 rokiem</t>
  </si>
  <si>
    <t>wartość WAG</t>
  </si>
  <si>
    <t>stawka 2020</t>
  </si>
  <si>
    <t>wzrost/spadek do roku 2020</t>
  </si>
  <si>
    <t>PRZEDSZKOLE NIEPUBLICZNE</t>
  </si>
  <si>
    <t xml:space="preserve">dzieci </t>
  </si>
  <si>
    <t>PKD *75%</t>
  </si>
  <si>
    <t>dzieci objete wczesnym wspomaganiem rozwoju dziecka w przedszkolach</t>
  </si>
  <si>
    <t>dzieci niewidome, słabowidzące, z niepełnosprawnością ruchową, w tym z afazją, z niepełnosprawnością intelektualną w stopniu lekkim - objętych kształceniem specjalnym w przedszkolach</t>
  </si>
  <si>
    <r>
      <rPr>
        <b/>
        <sz val="12"/>
        <color theme="1"/>
        <rFont val="Czcionka tekstu podstawowego"/>
        <charset val="238"/>
      </rPr>
      <t>dzieci 6-letnie i powyżej w przedszkolach</t>
    </r>
    <r>
      <rPr>
        <sz val="12"/>
        <color theme="1"/>
        <rFont val="Czcionka tekstu podstawowego"/>
        <family val="2"/>
        <charset val="238"/>
      </rPr>
      <t xml:space="preserve"> niewidome, słabowidzące, z niepełnosprawnością ruchową, w tym z afazją, z niepełnosprawnością intelektualną w stopniu lekkim - objętych kształceniem specjalnym w  przedszkolach</t>
    </r>
  </si>
  <si>
    <t>dzieci niesłyszące, słabosłyszące, z niepełnosprawnością intelektualną w stopniu umiarkowanym lub znacznym - objętych kształceniem specjlanym w przedszkolach</t>
  </si>
  <si>
    <r>
      <rPr>
        <b/>
        <sz val="12"/>
        <color theme="1"/>
        <rFont val="Czcionka tekstu podstawowego"/>
        <charset val="238"/>
      </rPr>
      <t>dzieci 6-letnie i powyżej w przedszkolach</t>
    </r>
    <r>
      <rPr>
        <sz val="12"/>
        <color theme="1"/>
        <rFont val="Czcionka tekstu podstawowego"/>
        <family val="2"/>
        <charset val="238"/>
      </rPr>
      <t xml:space="preserve"> niesłyszące, słabosłyszące, z niepełnosprawnością intelektualną w stopniu umiarkowanym lub znacznym - objęte kształceniem specjlanym w przedszkolach  </t>
    </r>
  </si>
  <si>
    <t>dzieci z niepełnosprawnościami sprzężonymi i z autyzmem, w tym z zespołem Aspergera objęte kształceniem specjlanym w przedszkolach</t>
  </si>
  <si>
    <t>dla dzieci w wieku 6 lat i powyżej w przedszkolach (wyłącznie niepełnosprawnych)</t>
  </si>
  <si>
    <r>
      <rPr>
        <b/>
        <sz val="12"/>
        <color theme="1"/>
        <rFont val="Czcionka tekstu podstawowego"/>
        <charset val="238"/>
      </rPr>
      <t>dzieci 6 letnie i powyżej w przedszkolach</t>
    </r>
    <r>
      <rPr>
        <sz val="12"/>
        <color theme="1"/>
        <rFont val="Czcionka tekstu podstawowego"/>
        <family val="2"/>
        <charset val="238"/>
      </rPr>
      <t xml:space="preserve"> z niepełnosprawnościami sprzężonymi i z autyzmem, w tym z zespołem Aspergera objęte kształceniem specjlanym w przedszkolach</t>
    </r>
  </si>
  <si>
    <t>PRZEDSZKOLE PUBLICZNE PROWADZONE PRZEZ INNY ORGAN NIŻ JST</t>
  </si>
  <si>
    <t>PKD *100%</t>
  </si>
  <si>
    <t>dzieci niesłyszące, słabosłyszące, z niepełnosprawnością intelektualną w stopniu umiarkowanym lub znacznym, - objetych kształceniem specjlanym w przedszkolach</t>
  </si>
  <si>
    <t>P55</t>
  </si>
  <si>
    <t>SZKOŁY PODSTAWOWE NIEPUBLICZNE</t>
  </si>
  <si>
    <t>uczniowie</t>
  </si>
  <si>
    <t>uczniowie klas I,II,III</t>
  </si>
  <si>
    <t xml:space="preserve">uczniowie spełniający obowiązek szkolny lub obowiązek nauki poza szkołą </t>
  </si>
  <si>
    <t>uczniowie klas I,II,III spełniający obowiżak szkolny lub nauki poza szkołą</t>
  </si>
  <si>
    <t>uczniowie w "małej szkole"</t>
  </si>
  <si>
    <t>uczniowie w "małej szkole" z nauczaniem indywidualnym</t>
  </si>
  <si>
    <t xml:space="preserve">uczniowie klas I, II i III w "małej szkole" </t>
  </si>
  <si>
    <t>uczniowie z niepełnosprawnością intelektualną w stopniu lekkim, niedostosowanych społecznnie, zagrożonych niedostosowaniem społecznym</t>
  </si>
  <si>
    <t>uczniowie  z niepełnosprawnością intelektualną w stopniu lekkim, niedostosowanych społecznnie, zagrożonych niedostosowaniem społecznym  w "małej szkole"</t>
  </si>
  <si>
    <r>
      <rPr>
        <b/>
        <sz val="12"/>
        <color theme="1"/>
        <rFont val="Czcionka tekstu podstawowego"/>
        <charset val="238"/>
      </rPr>
      <t>uczniowie klas I, II, III</t>
    </r>
    <r>
      <rPr>
        <sz val="12"/>
        <color theme="1"/>
        <rFont val="Czcionka tekstu podstawowego"/>
        <family val="2"/>
        <charset val="238"/>
      </rPr>
      <t xml:space="preserve"> z niepełnosprawnością intelektualną w stopniu lekkim, niedostosowanych społecznnie, zagrożonych niedostosowaniem społecznym,  </t>
    </r>
  </si>
  <si>
    <r>
      <rPr>
        <b/>
        <sz val="12"/>
        <color theme="1"/>
        <rFont val="Czcionka tekstu podstawowego"/>
        <charset val="238"/>
      </rPr>
      <t xml:space="preserve">uczniowie klas I, II, III  uczniów </t>
    </r>
    <r>
      <rPr>
        <sz val="12"/>
        <color theme="1"/>
        <rFont val="Czcionka tekstu podstawowego"/>
        <family val="2"/>
        <charset val="238"/>
      </rPr>
      <t>z niepełnosprawnością intelektualną w stopniu lekkim, niedostosowanych społecznnie, zagrożonych niedostosowaniem społecznym w "małej szkole"</t>
    </r>
  </si>
  <si>
    <t>uczniowie  niewidomi, słabowidzący, z niepeł. ruchową, w tym z afazją</t>
  </si>
  <si>
    <t>uczniowie niewidomi, słabowidzący, z niepeł. ruchową, w tym z afazją w "małej szkole"</t>
  </si>
  <si>
    <t>uczniowie niewidomi, słabowidzący, z niepeł. ruchową, w tym z afazją w "małej szkole" - w oddziale integracyjnym</t>
  </si>
  <si>
    <r>
      <rPr>
        <b/>
        <sz val="12"/>
        <color theme="1"/>
        <rFont val="Czcionka tekstu podstawowego"/>
        <charset val="238"/>
      </rPr>
      <t>uczniowie klas I, II i III</t>
    </r>
    <r>
      <rPr>
        <sz val="12"/>
        <color theme="1"/>
        <rFont val="Czcionka tekstu podstawowego"/>
        <family val="2"/>
        <charset val="238"/>
      </rPr>
      <t xml:space="preserve">  niewidomi, słabowidzący, z niepeł. ruchową, w tym z afazją</t>
    </r>
  </si>
  <si>
    <r>
      <rPr>
        <b/>
        <sz val="12"/>
        <color theme="1"/>
        <rFont val="Czcionka tekstu podstawowego"/>
        <charset val="238"/>
      </rPr>
      <t xml:space="preserve">uczniowie klas I, II i III </t>
    </r>
    <r>
      <rPr>
        <sz val="12"/>
        <color theme="1"/>
        <rFont val="Czcionka tekstu podstawowego"/>
        <family val="2"/>
        <charset val="238"/>
      </rPr>
      <t>niewidomi, słabowidzący, z niepeł. ruchową, w tym z afazją w "małej szkole"</t>
    </r>
  </si>
  <si>
    <r>
      <rPr>
        <b/>
        <sz val="12"/>
        <color theme="1"/>
        <rFont val="Czcionka tekstu podstawowego"/>
        <charset val="238"/>
      </rPr>
      <t xml:space="preserve">uczniowie klas I, II i III </t>
    </r>
    <r>
      <rPr>
        <sz val="12"/>
        <color theme="1"/>
        <rFont val="Czcionka tekstu podstawowego"/>
        <family val="2"/>
        <charset val="238"/>
      </rPr>
      <t>niewidomi, słabowidzący, z niepeł. ruchową, w tym z afazją w "małej szkole" - w oddziale integracyjnym</t>
    </r>
  </si>
  <si>
    <t xml:space="preserve">uczniowie niesłyszący, słabosłyszący, z niepeł. intel. w stopniu umiarkowanym lub znacznym </t>
  </si>
  <si>
    <t>uczniowie niesłyszący, słabosłyszący, z niepeł. intel. w stopniu umiarkowanym lub znacznym w "małej szkole"</t>
  </si>
  <si>
    <t>uczniowie niesłyszący, słabosłyszący, z niepeł. intel. w stopniu umiarkowanym lub znacznym w "małej szkole" - w oddziale integracyjnym</t>
  </si>
  <si>
    <r>
      <rPr>
        <b/>
        <sz val="12"/>
        <color theme="1"/>
        <rFont val="Czcionka tekstu podstawowego"/>
        <charset val="238"/>
      </rPr>
      <t>uczniowie klas I, II i III</t>
    </r>
    <r>
      <rPr>
        <sz val="12"/>
        <color theme="1"/>
        <rFont val="Czcionka tekstu podstawowego"/>
        <family val="2"/>
        <charset val="238"/>
      </rPr>
      <t xml:space="preserve"> niesłyszący, słabosłyszący, z niepeł. intel. w stopniu umiarkowanym lub znacznym </t>
    </r>
  </si>
  <si>
    <r>
      <rPr>
        <b/>
        <sz val="12"/>
        <color theme="1"/>
        <rFont val="Czcionka tekstu podstawowego"/>
        <charset val="238"/>
      </rPr>
      <t xml:space="preserve">uczniowie klas I, II i III </t>
    </r>
    <r>
      <rPr>
        <sz val="12"/>
        <color theme="1"/>
        <rFont val="Czcionka tekstu podstawowego"/>
        <family val="2"/>
        <charset val="238"/>
      </rPr>
      <t>niesłyszący, słabosłyszący, z niepeł. intel. w stopniu umiarkowanym lub znacznym w "małej szkole"</t>
    </r>
  </si>
  <si>
    <r>
      <rPr>
        <b/>
        <sz val="12"/>
        <color theme="1"/>
        <rFont val="Czcionka tekstu podstawowego"/>
        <charset val="238"/>
      </rPr>
      <t xml:space="preserve">uczniowie klas I, II i III </t>
    </r>
    <r>
      <rPr>
        <sz val="12"/>
        <color theme="1"/>
        <rFont val="Czcionka tekstu podstawowego"/>
        <family val="2"/>
        <charset val="238"/>
      </rPr>
      <t>niesłyszący, słabosłyszący, z niepeł. intel. w stopniu umiarkowanym lub znacznym w "małej szkole" - w oddziale integracyjnym</t>
    </r>
  </si>
  <si>
    <t>uczniowie z niepełnosprawni z niepełnosprawnością intelektualną w stopniu głębokim, ze sprzężeniami i z autyzmem w tym Aspergerem</t>
  </si>
  <si>
    <t>uczniowie z niepełnosprawni z niepełnosprawnością intelektualną w stopniu głębokim, ze sprzężeniami i z autyzmem w tym Aspergerem w "małej szkole"</t>
  </si>
  <si>
    <t>uczniowie z niepełnosprawni z niepełnosprawnością intelektualną w stopniu głębokim, ze sprzężeniami i z autyzmem w tym Aspergerem w "małej szkole" - w oddziale integracyjnym</t>
  </si>
  <si>
    <r>
      <rPr>
        <b/>
        <sz val="12"/>
        <color theme="1"/>
        <rFont val="Czcionka tekstu podstawowego"/>
        <charset val="238"/>
      </rPr>
      <t xml:space="preserve">uczniowie klas I, II i III niepełnosprawni </t>
    </r>
    <r>
      <rPr>
        <sz val="12"/>
        <color theme="1"/>
        <rFont val="Czcionka tekstu podstawowego"/>
        <family val="2"/>
        <charset val="238"/>
      </rPr>
      <t>z niepełnosprawnością intelektualną w stopniu głębokim, ze sprzężeniami i z autyzmem w tym Aspergerem</t>
    </r>
  </si>
  <si>
    <r>
      <rPr>
        <b/>
        <sz val="12"/>
        <color theme="1"/>
        <rFont val="Czcionka tekstu podstawowego"/>
        <charset val="238"/>
      </rPr>
      <t xml:space="preserve">uczniowie klas I, II i III niepełnosprawni </t>
    </r>
    <r>
      <rPr>
        <sz val="12"/>
        <color theme="1"/>
        <rFont val="Czcionka tekstu podstawowego"/>
        <family val="2"/>
        <charset val="238"/>
      </rPr>
      <t xml:space="preserve">z niepełnosprawnością intelektualną w stopniu głębokim, ze sprzężeniami i z autyzmem w tym Aspergerem w "małej szkole" </t>
    </r>
  </si>
  <si>
    <r>
      <rPr>
        <b/>
        <sz val="12"/>
        <color theme="1"/>
        <rFont val="Czcionka tekstu podstawowego"/>
        <charset val="238"/>
      </rPr>
      <t xml:space="preserve">uczniowie klas I, II i III niepełnosprawni </t>
    </r>
    <r>
      <rPr>
        <sz val="12"/>
        <color theme="1"/>
        <rFont val="Czcionka tekstu podstawowego"/>
        <family val="2"/>
        <charset val="238"/>
      </rPr>
      <t>z niepełnosprawnością intelektualną w stopniu głębokim, ze sprzężeniami i z autyzmem w tym Aspergerem w "małej szkole" - w oddziale integracyjnym</t>
    </r>
  </si>
  <si>
    <t>SZKOŁA PODSTAWOWA PUBLICZNA PROWADZONA PRZEZ INNY ORGAN NIŻ JST</t>
  </si>
  <si>
    <t>uczniowie z dodatkową nauką języka polskiego w "małej szkole"</t>
  </si>
  <si>
    <t>uczniowie kl. I-III z dodatkową nauką języka polskiego w "małej szkole"</t>
  </si>
  <si>
    <t>uczniowie klas I,II i III</t>
  </si>
  <si>
    <t>uczniowie klas I,II i III w "małej szkole"</t>
  </si>
  <si>
    <t>uczniowie z niepełnosprawnością intelektualną w stopniu lekkim, niedostosowanych społecznnie, zagrożonych niedostosowaniem społecznym,  uczniowie z zaburzeniami zachowania w "małej szkole"</t>
  </si>
  <si>
    <r>
      <rPr>
        <b/>
        <sz val="12"/>
        <color theme="1"/>
        <rFont val="Czcionka tekstu podstawowego"/>
        <charset val="238"/>
      </rPr>
      <t>uczniowie klas I, II, III</t>
    </r>
    <r>
      <rPr>
        <sz val="12"/>
        <color theme="1"/>
        <rFont val="Czcionka tekstu podstawowego"/>
        <family val="2"/>
        <charset val="238"/>
      </rPr>
      <t xml:space="preserve"> z niepełnosprawnością intelektualną w stopniu lekkim, niedostosowanych społecznnie, zagrożonych niedostosowaniem społecznym</t>
    </r>
  </si>
  <si>
    <r>
      <rPr>
        <b/>
        <sz val="12"/>
        <color theme="1"/>
        <rFont val="Czcionka tekstu podstawowego"/>
        <charset val="238"/>
      </rPr>
      <t>uczniowie klas I, II, III</t>
    </r>
    <r>
      <rPr>
        <sz val="12"/>
        <color theme="1"/>
        <rFont val="Czcionka tekstu podstawowego"/>
        <family val="2"/>
        <charset val="238"/>
      </rPr>
      <t xml:space="preserve"> z niepełnosprawnością intelektualną w stopniu lekkim, niedostosowanych społecznnie, zagrożonych niedostosowaniem społecznym w "małej szkole"</t>
    </r>
  </si>
  <si>
    <t>uczniowie  niewidomi, słabowidzący, z niepeł. ruchową, w tym z afazją w "małej szkole"</t>
  </si>
  <si>
    <r>
      <rPr>
        <b/>
        <sz val="12"/>
        <color theme="1"/>
        <rFont val="Czcionka tekstu podstawowego"/>
        <charset val="238"/>
      </rPr>
      <t>uczniowie klas I, II i III</t>
    </r>
    <r>
      <rPr>
        <sz val="12"/>
        <color theme="1"/>
        <rFont val="Czcionka tekstu podstawowego"/>
        <family val="2"/>
        <charset val="238"/>
      </rPr>
      <t xml:space="preserve">  niewidomi, słabowidzący, z niepeł. ruchową, w tym z afazją w "małej szkole"</t>
    </r>
  </si>
  <si>
    <r>
      <rPr>
        <b/>
        <sz val="12"/>
        <color theme="1"/>
        <rFont val="Czcionka tekstu podstawowego"/>
        <charset val="238"/>
      </rPr>
      <t>uczniowie klas I, II i III</t>
    </r>
    <r>
      <rPr>
        <sz val="12"/>
        <color theme="1"/>
        <rFont val="Czcionka tekstu podstawowego"/>
        <family val="2"/>
        <charset val="238"/>
      </rPr>
      <t xml:space="preserve"> niesłyszący, słabosłyszący, z niepeł. intel. w stopniu umiarkowanym lub znacznym w "małej szkole"</t>
    </r>
  </si>
  <si>
    <t>LICEA OGÓLNOKSZTAŁCĄCE NIEPUBLICZNE</t>
  </si>
  <si>
    <t>uczniowie z niepełnosprawnością intelektualną w stopniu lekkim, niedostosowanych społecznnie, zagrożonych niedostosowaniem społecznym,  uczniowie z zaburzeniami zachowania, zagrożonych uzależnieniami, z chorobami przewlekłymi - w oddziale integracyjnym</t>
  </si>
  <si>
    <t>uczniowie  niewidomi, słabowidzący, z niepeł. ruchową, w tym z afazją w oddziale integracyjnym</t>
  </si>
  <si>
    <t>uczniowie niesłyszący, słabosłyszący, z niepeł. intel. w stopniu umiarkowanym lub znacznym - w oddziale integracyjnym</t>
  </si>
  <si>
    <t>SZKOŁY ZAWODOWE DLA MŁODZIEŻY NIEPUBLICZNE</t>
  </si>
  <si>
    <t xml:space="preserve">uczniowie </t>
  </si>
  <si>
    <t>uczniowie realizujący praktyczną naukę zawodu u pracodawcy</t>
  </si>
  <si>
    <t>TECHNIKUM DLA MŁODZIEŻY</t>
  </si>
  <si>
    <t>INTERNAT</t>
  </si>
  <si>
    <t>wychowankowie</t>
  </si>
  <si>
    <t>uczniowie z niepełnosprawni z niepełnosprawnością intelektualną w stopniu głębokim, ze sprzężeniami i z autyzmem w tym Aspergerem - w oddziale integracyjnym</t>
  </si>
  <si>
    <t>NIEPUBLICZNA PORADNIA PSYCHOLOGICZNO-PEDAGOGICZNA</t>
  </si>
  <si>
    <t xml:space="preserve">dzieci objęte wczesnym wspomaganiem rozowju dziecka </t>
  </si>
  <si>
    <t>SZKOŁA PODSTAWOWA DLA DOROSŁYCH KSZTAŁCĄCA W SYSTEMIE STACJONARNYM</t>
  </si>
  <si>
    <t>S.C.</t>
  </si>
  <si>
    <t>LICEUM OGÓLNOKSZTAŁCĄCE DLA DOROSŁYCH W SYSTEMIE ZAOCZNYM</t>
  </si>
  <si>
    <t>słuchacze</t>
  </si>
  <si>
    <t>SH</t>
  </si>
  <si>
    <t>GIMNAZJUM DLA DOROSŁYCH W SYSTEMIE ZAOCZNYM</t>
  </si>
  <si>
    <t>Gliwice</t>
  </si>
  <si>
    <t>GIMNAZJUM DLA DOROSŁYCH W SYSTEMIE STACJONARNYM</t>
  </si>
  <si>
    <t>Częstochowa</t>
  </si>
  <si>
    <t xml:space="preserve">POLICEALNA SZKOŁA DLA MŁODZIEŻY KSZTAŁCACA W ZAWODACH MEDYCZNYCH  - SYSTEM DZIENNY </t>
  </si>
  <si>
    <t>POLICEALNA SZKOŁA DLA DOROSŁYCH KSZTAŁCĄCA W ZAWODACH MEDYCZNYCH - SYSTEM STACJONARNY</t>
  </si>
  <si>
    <t>POLICEALNA SZKOŁA DLA DOROSŁYCH KSZTAŁCĄCA W ZAWODACH MEDYCZNYCH - SYSTEM ZAOCZNY</t>
  </si>
  <si>
    <t>POLICEALNA SZKOŁA DLA DOROSŁYCH KSZTAŁCĄCA W ZAWODACH NIEMEDYCZNYCH - SYSTEM ZAOCZNY</t>
  </si>
  <si>
    <t>słuchacze kształcacy się w zawodzie technik administracji, technik bezpieczeństwa i higieny pracy, technik rachunkowości, techni ochrony fizycznej osób i mienia, opiekunka środowiskowa, opiekun osoby starszej, technik archiwista, asystent kierownika produkcji filmowej/telewizyjnej, asystent kierownika produkcji filmowej i telewizyjnej, technik usług pocztowych i finansowych</t>
  </si>
  <si>
    <t xml:space="preserve">BRANŻOWA SZKOŁA I STOPNIA </t>
  </si>
  <si>
    <t>uczniowie - grupa zawodów A: mechatronik, technik mechatronik</t>
  </si>
  <si>
    <t>SA+P13+P9+P50</t>
  </si>
  <si>
    <t xml:space="preserve">uczniowie - grupa zawodów B: elektromechanik pojazdów samochodywch, technik mechanizacji rolnictwa i agrotroniki, technik pojazdów samochodowych,mechaanik pojazdów kolejowych, technik pojazdów kolejowych </t>
  </si>
  <si>
    <t>SA+P14+P9+P50</t>
  </si>
  <si>
    <t>uczniowie - grupa zawodów D : zawody nie wymienione w grupie zawodów A - C</t>
  </si>
  <si>
    <t>SA+P16+P9+P50</t>
  </si>
  <si>
    <t>uczniowie z niepełnosprawnością intelektualną w stopniu lekkim, niedostosowanych społecznnie, zagrożonych niedostosowaniem społecznym,  uczniowie z zaburzeniami zachowania, zagrożonych uzależnieniami, z chorobami przewlekłymi w zawodzie fryzjer</t>
  </si>
  <si>
    <t>SA+P18+P9+P50+P4</t>
  </si>
  <si>
    <t>uczniowie z niepełnosprawnością intelektualną w stopniu głębokim, ze sprzężeniami i autyzmem w tym Aspergerem w zawodzie kucharz, mechanik pojazdów samochodowych</t>
  </si>
  <si>
    <t>BRANŻOWA SZKOŁA II STOPNIA DLA DOROSŁYCH - KSZTAŁCĄCA W SYSTEMIE STACJONARNYM</t>
  </si>
  <si>
    <t xml:space="preserve">słuchacze kształcący się w zawodach: technik pojazdów samochodowych, technik żywienia i usług gastronomicznych </t>
  </si>
  <si>
    <t>TECHNIKUM</t>
  </si>
  <si>
    <t>Di Gmina</t>
  </si>
  <si>
    <t>Di Powiat</t>
  </si>
  <si>
    <t>P7+SA+P52</t>
  </si>
  <si>
    <t>P7+SA+P4+P52</t>
  </si>
  <si>
    <t>P7+SA+P4+P52+P9</t>
  </si>
  <si>
    <t>SA+P11+P5+P53</t>
  </si>
  <si>
    <t>SA+P11+P5+P53+P9</t>
  </si>
  <si>
    <t>uczniowie w szkołach, gdzie iloraz liczby uczniów i liczby klas jest nizsza lub równa 18</t>
  </si>
  <si>
    <t>uczniowie z niepełnosprawnością intelektualną w stopniu lekkim, niedostosowanych społecznnie, zagrożonych niedostosowaniem społecznym  w szkołach, gdzie iloraz liczby uczniów i liczby klas jest nizsza lub równa 18</t>
  </si>
  <si>
    <t>uczniowie z niepełnosprawnością intelektualną w stopniu lekkim, niedostosowanych społecznnie, zagrożonych niedostosowaniem społecznym,  uczniowie z zaburzeniami zachowania, zagrożonych uzależnieniami, z chorobami przewlekłymi - w oddziale integracyjnym  w szkołach, gdzie iloraz liczby uczniów i liczby klas jest nizsza lub równa 18</t>
  </si>
  <si>
    <t>uczniowie  niewidomi, słabowidzący, z niepeł. ruchową, w tym z afazją w szkołach, gdzie iloraz liczby uczniów i liczby klas jest nizsza lub równa 18</t>
  </si>
  <si>
    <t>uczniowie  niewidomi, słabowidzący, z niepeł. ruchową, w tym z afazją w oddziale integracyjnym w szkołach, gdzie iloraz liczby uczniów i liczby klas jest nizsza lub równa 18</t>
  </si>
  <si>
    <t>uczniowie niesłyszący, słabosłyszący, z niepeł. intel. w stopniu umiarkowanym lub znacznym w szkołach, gdzie iloraz liczby uczniów i liczby klas jest nizsza lub równa 18</t>
  </si>
  <si>
    <t>uczniowie niesłyszący, słabosłyszący, z niepeł. intel. w stopniu umiarkowanym lub znacznym - w oddziale integracyjnym w szkołach, gdzie iloraz liczby uczniów i liczby klas jest nizsza lub równa 18</t>
  </si>
  <si>
    <t>uczniowie z niepełnosprawni z niepełnosprawnością intelektualną w stopniu głębokim, ze sprzężeniami i z autyzmem w tym Aspergerem w szkołach, gdzie iloraz liczby uczniów i liczby klas jest nizsza lub równa 18</t>
  </si>
  <si>
    <t>uczniowie z niepełnosprawni z niepełnosprawnością intelektualną w stopniu głębokim, ze sprzężeniami i z autyzmem w tym Aspergerem - w oddziale integracyjnym w szkołach, gdzie iloraz liczby uczniów i liczby klas jest nizsza lub równa 18</t>
  </si>
  <si>
    <t>uczniowie - grupa zawodów C: elektronik, fotograf, górnik eksploatacji otworowej, górnik odkrywkowej eksploatacji złóż, kaletnik, kamieniarz, kierowca mechanik, kowal, krawiec, kucharz, mechanik automatyki przemysłowej i urzadzeń precyzyjnych, mechanik motocyklowy, mechanik operator maszyn do produkcji drzewnej, mechanik pojazdów samochodowych, mechanik precyzyjny, mechanik-monter maszyn i urządzeń, mechanik-operator pojazdów i maszyn rolniczych, monter zabudowy i robót wykończeniowych w budownictwie, ogrodnik, operator maszyn i urządzeń hutniczych, operator maszyn leśnych, operator maszyn w przemyśle włókienniczym, operator obrabiarek skrawajacych, pszczelarz, rolnik, ślusarz, szkutnik, technik analityk, technik architektury krajobrazu, technik automatyk, technik automatyk sterowania ruchem kolejowym, technik awionik, technik budowy dróg, technik budowy fortepianów i pianin, technik budowy jednostek pływających, technik elektroenergetyk transportu szynowego, technik elektronik, technik elektryk, technik fotografii i multimediów, technik górnictwa odkrywkowego, technik górnictwa otworowego, technik grafiki i poligrafii cyfrowej, technik hodowca koni, technik hutnik, technik informatyk, technik leśnik,  technik mechanik, technik mechanik lotniczy, technik odlewnik, technik ogrodnik, technik optyk, technik przeróbki kopalni stałych, technik pszczelarz, technik realizacji dźwięku, technik realizacji nagrań i nagłośnień,  technik rolnik, technik szerokopasmowej komunikacji elektrycznej, technik technologii chemicznej, technik transportu kolejowego, technik tyfloinformatyk, technik urządzeń dźwiekowych,  technik włókiennik, technik żywienia i usług gastronomicznych, zegarmistrz, technik budowy i strojenia fortepianów i pianin, technik realizacji nagłośnień, technik realizacji nagrań, automatyk, operator maszyn i urządzeń przeróbczych, pracownik pomocniczy gastronomii, operator maszyn i urządzeń przemysłu metalurgicznego, technik przemysłu metalurgicznego, technik programista, monter jachtów i łodzi, technik spawalnictwa w szkołach, gdzie iloraz liczby uczniów i liczby klas jest nizsza lub równa 18</t>
  </si>
  <si>
    <t>technik reklamy</t>
  </si>
  <si>
    <t>SA+P3+P10+P17+P53</t>
  </si>
  <si>
    <t>klasa I uczniowie - grupa zawodów C: elektronik, fotograf, górnik eksploatacji otworowej, górnik odkrywkowej eksploatacji złóż, kaletnik, kamieniarz, kierowca mechanik, kowal, krawiec, kucharz, mechanik automatyki przemysłowej i urzadzeń precyzyjnych, mechanik motocyklowy, mechanik operator maszyn do produkcji drzewnej, mechanik pojazdów samochodowych, mechanik precyzyjny, mechanik-monter maszyn i urządzeń, mechanik-operator pojazdów i maszyn rolniczych, monter zabudowy i robót wykończeniowych w budownictwie, ogrodnik, operator maszyn i urządzeń hutniczych, operator maszyn leśnych, operator maszyn w przemyśle włókienniczym, operator obrabiarek skrawajacych, pszczelarz, rolnik, ślusarz, szkutnik, technik analityk, technik architektury krajobrazu, technik automatyk, technik automatyk sterowania ruchem kolejowym, technik awionik, technik budowy dróg, technik budowy fortepianów i pianin, technik budowy jednostek pływających, technik elektroenergetyk transportu szynowego, technik elektronik, technik elektryk, technik fotografii i multimediów, technik górnictwa odkrywkowego, technik górnictwa otworowego, technik grafiki i poligrafii cyfrowej, technik hodowca koni, technik hutnik, technik informatyk, technik leśnik,  technik mechanik, technik mechanik lotniczy, technik odlewnik, technik ogrodnik, technik optyk, technik przeróbki kopalni stałych, technik pszczelarz, technik realizacji dźwięku, technik realizacji nagrań i nagłośnień,  technik rolnik, technik szerokopasmowej komunikacji elektrycznej, technik technologii chemicznej, technik transportu kolejowego, technik tyfloinformatyk, technik urządzeń dźwiekowych,  technik włókiennik, technik żywienia i usług gastronomicznych, zegarmistrz, technik budowy i strojenia fortepianów i pianin, technik realizacji nagłośnień, technik realizacji nagrań, automatyk, operator maszyn i urządzeń przeróbczych, pracownik pomocniczy gastronomii, operator maszyn i urządzeń przemysłu metalurgicznego, technik przemysłu metalurgicznego, technik programista, monter jachtów i łodzi, technik spawalnictwa w szkołach, gdzie iloraz liczby uczniów i liczby klas jest nizsza lub równa 18</t>
  </si>
  <si>
    <t>SA+P16+P10+P53+P3+p20</t>
  </si>
  <si>
    <t>wagi 2022</t>
  </si>
  <si>
    <t>stawka na 2022 r.</t>
  </si>
  <si>
    <t xml:space="preserve">  </t>
  </si>
  <si>
    <t>P76</t>
  </si>
  <si>
    <t>P78</t>
  </si>
  <si>
    <t>P78+P61</t>
  </si>
  <si>
    <t>P79</t>
  </si>
  <si>
    <t>P79+P61</t>
  </si>
  <si>
    <t>P74</t>
  </si>
  <si>
    <t>P74+P61</t>
  </si>
  <si>
    <t>SA+P54</t>
  </si>
  <si>
    <t>SA+P51+P54</t>
  </si>
  <si>
    <t>SF+P54</t>
  </si>
  <si>
    <t>SF+P51+P54</t>
  </si>
  <si>
    <t>SA+P4+P54</t>
  </si>
  <si>
    <t>SA+P4+P54+P39</t>
  </si>
  <si>
    <t>SA+P4+P54+P51</t>
  </si>
  <si>
    <t>P5+SA+P54</t>
  </si>
  <si>
    <t>P5+SA+P4+P54</t>
  </si>
  <si>
    <t>P5+SA+P4+P51+P54</t>
  </si>
  <si>
    <t>P5+SA+P51+P54</t>
  </si>
  <si>
    <t>P6+SA+P54</t>
  </si>
  <si>
    <t>P6+SA+P4+P54</t>
  </si>
  <si>
    <t>P6+SA+P4+P54+P9</t>
  </si>
  <si>
    <t>P6+SA+P54+P51</t>
  </si>
  <si>
    <t>P6+SA+P4+P51</t>
  </si>
  <si>
    <t>P6+SA+P4+P51+P9</t>
  </si>
  <si>
    <t>P7+SA+P54+P51</t>
  </si>
  <si>
    <t>P7+SA+P4+P51+P54</t>
  </si>
  <si>
    <t>P7+SA+P4+P51+P54+P9</t>
  </si>
  <si>
    <t>P8+SA+P54</t>
  </si>
  <si>
    <t>P8+SA+P4+P54</t>
  </si>
  <si>
    <t>P8+SA+P4+P54+P9</t>
  </si>
  <si>
    <t>P8+SA+P54+P51</t>
  </si>
  <si>
    <t>P8+SA+P54+P51+P4</t>
  </si>
  <si>
    <t>P8+SA+P54+P51+P4+P9</t>
  </si>
  <si>
    <t>(SA + P54)*WSK. ZWIĘKSZAJĄCY</t>
  </si>
  <si>
    <t>(SA+P54+P4)*wsk. Zw.</t>
  </si>
  <si>
    <t>(SA+P54+P4+P48)*wsk. Zw.</t>
  </si>
  <si>
    <t>(SA+P54+P4+P48+P51)*wsk. Zw.</t>
  </si>
  <si>
    <t>(SA+P54+P51)*WSK.Zw.</t>
  </si>
  <si>
    <t>(SA + P4+P53+P61)*WSK. ZW.</t>
  </si>
  <si>
    <t>(P5+SA+P54)*wsk. Zw.</t>
  </si>
  <si>
    <t>P5+SA+P54+P4)*WSK. Zw.</t>
  </si>
  <si>
    <t>(P5+SA+P54+P51)*wsk.zw.</t>
  </si>
  <si>
    <t>(P5+SA+P54+P4+P51)*WSk.ZW.</t>
  </si>
  <si>
    <t>(P6+SA+P54)*wsk. Zwiększający</t>
  </si>
  <si>
    <t>(P4+P6+SA+P54)*wsk. Zw.</t>
  </si>
  <si>
    <t>(P6+SA+P54+P51)*wsk. zwiększąjcy</t>
  </si>
  <si>
    <t>(P6+SA+P54+P4+P51)*WSk. ZW.</t>
  </si>
  <si>
    <t>(P7+SA+P54)*wsk. Zwiększający</t>
  </si>
  <si>
    <t>(SA+P7+P4+P54)*WSk. Zw.</t>
  </si>
  <si>
    <t>(P7+SA+P54+P51)*wsk.zwiększający</t>
  </si>
  <si>
    <t>(SA+P4+P51+P54+P7)*WSK. ZW.</t>
  </si>
  <si>
    <t>(P8+SA+P54)*wsk. Zwiększający</t>
  </si>
  <si>
    <t>(SA+P8+P54+P4)*WSK. ZW.</t>
  </si>
  <si>
    <t>(P8+SA+P54+P51)*wsk. zwiększający</t>
  </si>
  <si>
    <t>(SA+P8+P54+P51+P4)*WSK. ZW.</t>
  </si>
  <si>
    <t>SA+P11+P55</t>
  </si>
  <si>
    <t>SA+P11+P55+P3</t>
  </si>
  <si>
    <t>SA+P11+P5+P55+P3</t>
  </si>
  <si>
    <t>SA+P11+P5+P55+P9+P3</t>
  </si>
  <si>
    <t>SA+P11+P6+P55</t>
  </si>
  <si>
    <t>SA+P11+P6+P55+P3</t>
  </si>
  <si>
    <t>SA+P11+P6+P55+P9</t>
  </si>
  <si>
    <t>SA+P11+P6+P55+P9+P3</t>
  </si>
  <si>
    <t>SA+P11+P7+P55</t>
  </si>
  <si>
    <t>SA+P11+P7+P55+p3</t>
  </si>
  <si>
    <t xml:space="preserve">SA+P11+P7+P55+P9                       </t>
  </si>
  <si>
    <t>SA+P11+P7+P55+P9+P3</t>
  </si>
  <si>
    <t>SA+P11+P8+P55</t>
  </si>
  <si>
    <t>SA+P11+P8+P55+P9+p3</t>
  </si>
  <si>
    <t>SA+P11+P8+P55+P9</t>
  </si>
  <si>
    <t>SK+P33</t>
  </si>
  <si>
    <t>SG+P33</t>
  </si>
  <si>
    <t>SG+P15</t>
  </si>
  <si>
    <t>SG+P20</t>
  </si>
  <si>
    <t>SA+P19+P10+P55</t>
  </si>
  <si>
    <t>SA+P21+P10+P55</t>
  </si>
  <si>
    <t>SA+P21+P10+P55+P8</t>
  </si>
  <si>
    <t>SE+P10+P50</t>
  </si>
  <si>
    <t>SA+P16+P10+P55+p3</t>
  </si>
  <si>
    <t>uczniowie - grupa zawodów C: elektronik, fotograf, górnik eksploatacji otworowej, górnik odkrywkowej eksploatacji złóż, kaletnik, kamieniarz, kierowca mechanik, kowal, krawiec, kucharz, mechanik automatyki przemysłowej i urzadzeń precyzyjnych, mechanik motocyklowy, mechanik operator maszyn do produkcji drzewnej, mechanik pojazdów samochodowych, mechanik precyzyjny, mechanik-monter maszyn i urządzeń, mechanik-operator pojazdów i maszyn rolniczych, monter zabudowy i robót wykończeniowych w budownictwie, ogrodnik, operator maszyn i urządzeń hutniczych, operator maszyn leśnych, operator maszyn w przemyśle włókienniczym, operator obrabiarek skrawajacych, pszczelarz, rolnik, ślusarz, szkutnik, technik analityk, technik architektury krajobrazu, technik automatyk, technik automatyk sterowania ruchem kolejowym, technik awionik, technik budowy dróg, technik budowy fortepianów i pianin, technik budowy jednostek pływających, technik elektroenergetyk transportu szynowego, technik elektronik, technik elektryk, technik fotografii i multimediów, technik górnictwa odkrywkowego, technik górnictwa otworowego, technik grafiki i poligrafii cyfrowej, technik hodowca koni, technik hutnik, technik informatyk, technik leśnik,  technik mechanik, technik mechanik lotniczy, technik odlewnik, technik ogrodnik, technik optyk, technik przeróbki kopalni stałych, technik pszczelarz, technik realizacji dźwięku, technik realizacji nagrań i nagłośnień,  technik rolnik, technik szerokopasmowej komunikacji elektrycznej, technik technologii chemicznej, technik transportu kolejowego, technik tyfloinformatyk, technik urządzeń dźwiekowych,  technik włókiennik, technik żywienia i usług gastronomicznych, zegarmistrz, technik budowy i strojenia fortepianów i pianin, technik realizacji nagłośnień, technik realizacji nagrań, automatyk, operator maszyn i urządzeń przeróbczych, pracownik pomocniczy gastronomii, operator maszyn i urządzeń przemysłu metalurgicznego, technik przemysłu metalurgicznego, technik programista, monter jachtów i łodzi, technik spawalnictwa, technik stylista,technik przemysłu mody,monter konstrukcji targowo-wystawienniczych,technik montażu i automatyki stolarki budowlanej,technik przemysłu jachtowego, technik transportu drogowego, technik weterynarii</t>
  </si>
  <si>
    <t>stawka na 2023 r.</t>
  </si>
  <si>
    <t>=1272,11*75%</t>
  </si>
  <si>
    <t>1272,11*100%</t>
  </si>
  <si>
    <t>WSKAŹNIK ZWIĘKSZAJCY 1,403</t>
  </si>
  <si>
    <t>Miesięczne stawki dotacji, wynikające z części oświatowej subwencji ogólnej dla Miasta Sosnowca oraz z podstawowej kwoty dotacji obowiązujące w 2023 roku na jednego ucznia lub wychowanka publicznego przedszkola i szkoły prowadzonej przez inny organ niż jednostka samorządu terytorialnego oraz niepublicznych przedszkoli, szkół i placówek oświatowych dla Miasta Sosnowca</t>
  </si>
  <si>
    <t>SM+P33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</si>
</sst>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_ ;[Red]\-#,##0.000\ "/>
    <numFmt numFmtId="165" formatCode="#,##0.0000000000_ ;[Red]\-#,##0.0000000000\ "/>
    <numFmt numFmtId="166" formatCode="#,##0.00_ ;[Red]\-#,##0.00\ "/>
  </numFmts>
  <fonts count="12">
    <font>
      <sz val="11"/>
      <color theme="1"/>
      <name val="Czcionka tekstu podstawowego"/>
      <family val="2"/>
      <charset val="238"/>
    </font>
    <font>
      <sz val="12"/>
      <color theme="1"/>
      <name val="Czcionka tekstu podstawowego"/>
      <family val="2"/>
      <charset val="238"/>
    </font>
    <font>
      <b/>
      <sz val="12"/>
      <color theme="1"/>
      <name val="Czcionka tekstu podstawowego"/>
      <charset val="238"/>
    </font>
    <font>
      <b/>
      <sz val="11"/>
      <color theme="1"/>
      <name val="Czcionka tekstu podstawowego"/>
      <charset val="238"/>
    </font>
    <font>
      <sz val="12"/>
      <color theme="2" tint="-0.249977111117893"/>
      <name val="Czcionka tekstu podstawowego"/>
      <family val="2"/>
      <charset val="238"/>
    </font>
    <font>
      <sz val="12"/>
      <color theme="6" tint="0.59999389629810485"/>
      <name val="Czcionka tekstu podstawowego"/>
      <family val="2"/>
      <charset val="238"/>
    </font>
    <font>
      <sz val="12"/>
      <color theme="1"/>
      <name val="Czcionka tekstu podstawowego"/>
      <charset val="238"/>
    </font>
    <font>
      <b/>
      <sz val="12"/>
      <name val="Czcionka tekstu podstawowego"/>
      <charset val="238"/>
    </font>
    <font>
      <sz val="11"/>
      <color theme="1"/>
      <name val="Czcionka tekstu podstawowego"/>
      <charset val="238"/>
    </font>
    <font>
      <sz val="10"/>
      <name val="Tahoma"/>
      <family val="2"/>
      <charset val="238"/>
    </font>
    <font>
      <b/>
      <u/>
      <sz val="22"/>
      <color theme="1"/>
      <name val="Czcionka tekstu podstawowego"/>
      <charset val="238"/>
    </font>
    <font>
      <sz val="12"/>
      <color theme="0"/>
      <name val="Czcionka tekstu podstawowego"/>
      <family val="2"/>
      <charset val="238"/>
    </font>
  </fonts>
  <fills count="8">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109">
    <xf numFmtId="0" fontId="0" fillId="0" borderId="0" xfId="0"/>
    <xf numFmtId="0" fontId="1" fillId="0" borderId="0" xfId="0" applyFont="1"/>
    <xf numFmtId="0" fontId="1" fillId="0" borderId="0" xfId="0" applyFont="1" applyAlignment="1">
      <alignment horizontal="right"/>
    </xf>
    <xf numFmtId="165" fontId="1" fillId="0" borderId="0" xfId="0" applyNumberFormat="1" applyFont="1"/>
    <xf numFmtId="0" fontId="2" fillId="0" borderId="0" xfId="0" applyFont="1" applyAlignment="1">
      <alignment horizontal="center" vertical="center" wrapText="1"/>
    </xf>
    <xf numFmtId="0" fontId="0" fillId="0" borderId="0" xfId="0" applyAlignment="1"/>
    <xf numFmtId="164" fontId="1" fillId="0" borderId="0" xfId="0" applyNumberFormat="1" applyFont="1"/>
    <xf numFmtId="0" fontId="1" fillId="0" borderId="0"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3" xfId="0" applyFont="1" applyFill="1" applyBorder="1" applyAlignment="1">
      <alignment horizontal="center" wrapText="1"/>
    </xf>
    <xf numFmtId="164" fontId="2" fillId="3"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6" borderId="7" xfId="0" applyFont="1" applyFill="1" applyBorder="1" applyAlignment="1">
      <alignment horizontal="left"/>
    </xf>
    <xf numFmtId="0" fontId="0" fillId="6" borderId="8" xfId="0" applyFill="1" applyBorder="1" applyAlignment="1">
      <alignment horizontal="center"/>
    </xf>
    <xf numFmtId="0" fontId="1" fillId="6" borderId="8" xfId="0" applyFont="1" applyFill="1" applyBorder="1"/>
    <xf numFmtId="0" fontId="1" fillId="6" borderId="9" xfId="0" applyFont="1" applyFill="1" applyBorder="1"/>
    <xf numFmtId="164" fontId="1" fillId="6" borderId="9" xfId="0" applyNumberFormat="1" applyFont="1" applyFill="1" applyBorder="1"/>
    <xf numFmtId="166" fontId="1" fillId="6" borderId="8" xfId="0" applyNumberFormat="1" applyFont="1" applyFill="1" applyBorder="1"/>
    <xf numFmtId="166" fontId="4" fillId="6" borderId="0" xfId="0" applyNumberFormat="1" applyFont="1" applyFill="1" applyBorder="1"/>
    <xf numFmtId="0" fontId="5" fillId="6" borderId="0" xfId="0" applyFont="1" applyFill="1"/>
    <xf numFmtId="0" fontId="1" fillId="0" borderId="0" xfId="0" applyFont="1" applyAlignment="1">
      <alignment vertical="center"/>
    </xf>
    <xf numFmtId="0" fontId="1" fillId="5" borderId="10" xfId="0" applyFont="1" applyFill="1" applyBorder="1" applyAlignment="1">
      <alignment vertical="center" wrapText="1"/>
    </xf>
    <xf numFmtId="166" fontId="2" fillId="0" borderId="10" xfId="0" applyNumberFormat="1" applyFont="1" applyBorder="1" applyAlignment="1">
      <alignment horizontal="left" vertical="center"/>
    </xf>
    <xf numFmtId="166" fontId="2" fillId="0" borderId="10" xfId="0" applyNumberFormat="1" applyFont="1" applyBorder="1" applyAlignment="1">
      <alignment horizontal="right" vertical="center"/>
    </xf>
    <xf numFmtId="166" fontId="1" fillId="0" borderId="7" xfId="0" applyNumberFormat="1" applyFont="1" applyBorder="1" applyAlignment="1">
      <alignment vertical="center"/>
    </xf>
    <xf numFmtId="49" fontId="1" fillId="0" borderId="7" xfId="0" applyNumberFormat="1" applyFont="1" applyBorder="1" applyAlignment="1">
      <alignment horizontal="right" vertical="center"/>
    </xf>
    <xf numFmtId="166" fontId="2" fillId="5" borderId="10" xfId="0" applyNumberFormat="1" applyFont="1" applyFill="1" applyBorder="1" applyAlignment="1">
      <alignment horizontal="right" vertical="center"/>
    </xf>
    <xf numFmtId="166" fontId="1" fillId="0" borderId="7" xfId="0" applyNumberFormat="1" applyFont="1" applyBorder="1" applyAlignment="1">
      <alignment horizontal="right" vertical="center"/>
    </xf>
    <xf numFmtId="164" fontId="1" fillId="0" borderId="7" xfId="0" applyNumberFormat="1" applyFont="1" applyBorder="1" applyAlignment="1">
      <alignment horizontal="right" vertical="center"/>
    </xf>
    <xf numFmtId="166" fontId="1" fillId="0" borderId="10" xfId="0" applyNumberFormat="1" applyFont="1" applyBorder="1" applyAlignment="1">
      <alignment horizontal="right" vertical="center"/>
    </xf>
    <xf numFmtId="0" fontId="6" fillId="5" borderId="10" xfId="0" applyFont="1" applyFill="1" applyBorder="1" applyAlignment="1">
      <alignment vertical="center" wrapText="1"/>
    </xf>
    <xf numFmtId="0" fontId="2" fillId="6" borderId="10" xfId="0" applyFont="1" applyFill="1" applyBorder="1" applyAlignment="1">
      <alignment horizontal="left" vertical="center" wrapText="1"/>
    </xf>
    <xf numFmtId="0" fontId="0" fillId="6" borderId="10" xfId="0" applyFill="1" applyBorder="1" applyAlignment="1">
      <alignment horizontal="center" vertical="center"/>
    </xf>
    <xf numFmtId="0" fontId="1" fillId="6" borderId="10" xfId="0" applyFont="1" applyFill="1" applyBorder="1" applyAlignment="1">
      <alignment vertical="center"/>
    </xf>
    <xf numFmtId="0" fontId="1" fillId="6" borderId="7" xfId="0" applyFont="1" applyFill="1" applyBorder="1" applyAlignment="1">
      <alignment vertical="center"/>
    </xf>
    <xf numFmtId="164" fontId="1" fillId="6" borderId="7" xfId="0" applyNumberFormat="1" applyFont="1" applyFill="1" applyBorder="1" applyAlignment="1">
      <alignment horizontal="right" vertical="center"/>
    </xf>
    <xf numFmtId="166" fontId="5" fillId="6" borderId="10" xfId="0" applyNumberFormat="1" applyFont="1" applyFill="1" applyBorder="1" applyAlignment="1">
      <alignment horizontal="right" vertical="center"/>
    </xf>
    <xf numFmtId="166" fontId="5" fillId="6" borderId="7" xfId="0" applyNumberFormat="1" applyFont="1" applyFill="1" applyBorder="1" applyAlignment="1">
      <alignment horizontal="right" vertical="center"/>
    </xf>
    <xf numFmtId="166" fontId="7" fillId="5" borderId="10" xfId="0" applyNumberFormat="1" applyFont="1" applyFill="1" applyBorder="1" applyAlignment="1">
      <alignment horizontal="right" vertical="center"/>
    </xf>
    <xf numFmtId="166" fontId="1" fillId="6" borderId="10" xfId="0" applyNumberFormat="1" applyFont="1" applyFill="1" applyBorder="1" applyAlignment="1">
      <alignment horizontal="right" vertical="center"/>
    </xf>
    <xf numFmtId="166" fontId="1" fillId="6" borderId="7" xfId="0" applyNumberFormat="1" applyFont="1" applyFill="1" applyBorder="1" applyAlignment="1">
      <alignment horizontal="right" vertical="center"/>
    </xf>
    <xf numFmtId="166" fontId="2" fillId="5" borderId="10" xfId="0" applyNumberFormat="1" applyFont="1" applyFill="1" applyBorder="1" applyAlignment="1">
      <alignment horizontal="left" vertical="center"/>
    </xf>
    <xf numFmtId="0" fontId="2" fillId="0" borderId="10" xfId="0" applyFont="1" applyBorder="1" applyAlignment="1">
      <alignment vertical="center"/>
    </xf>
    <xf numFmtId="166" fontId="1" fillId="5" borderId="10" xfId="0" applyNumberFormat="1" applyFont="1" applyFill="1" applyBorder="1" applyAlignment="1">
      <alignment horizontal="right" vertical="center"/>
    </xf>
    <xf numFmtId="0" fontId="2" fillId="5" borderId="10" xfId="0" applyFont="1" applyFill="1" applyBorder="1" applyAlignment="1">
      <alignment vertical="center"/>
    </xf>
    <xf numFmtId="166" fontId="1" fillId="5" borderId="7" xfId="0" applyNumberFormat="1" applyFont="1" applyFill="1" applyBorder="1" applyAlignment="1">
      <alignment vertical="center"/>
    </xf>
    <xf numFmtId="164" fontId="1" fillId="5" borderId="7" xfId="0" applyNumberFormat="1" applyFont="1" applyFill="1" applyBorder="1" applyAlignment="1">
      <alignment horizontal="right" vertical="center"/>
    </xf>
    <xf numFmtId="0" fontId="1" fillId="5" borderId="0" xfId="0" applyFont="1" applyFill="1" applyAlignment="1">
      <alignment vertical="center"/>
    </xf>
    <xf numFmtId="166" fontId="2" fillId="5" borderId="10" xfId="0" applyNumberFormat="1" applyFont="1" applyFill="1" applyBorder="1" applyAlignment="1">
      <alignment vertical="center"/>
    </xf>
    <xf numFmtId="0" fontId="0" fillId="6" borderId="10" xfId="0" applyFill="1" applyBorder="1" applyAlignment="1">
      <alignment horizontal="center" vertical="center" wrapText="1"/>
    </xf>
    <xf numFmtId="0" fontId="2" fillId="5" borderId="10" xfId="0" applyFont="1" applyFill="1" applyBorder="1" applyAlignment="1">
      <alignment vertical="center" wrapText="1"/>
    </xf>
    <xf numFmtId="0" fontId="3" fillId="5" borderId="10" xfId="0" applyFont="1" applyFill="1" applyBorder="1" applyAlignment="1">
      <alignment horizontal="center" vertical="center" wrapText="1"/>
    </xf>
    <xf numFmtId="0" fontId="2" fillId="0" borderId="10" xfId="0" applyFont="1" applyBorder="1" applyAlignment="1">
      <alignment vertical="center" wrapText="1"/>
    </xf>
    <xf numFmtId="166" fontId="3" fillId="0" borderId="10" xfId="0" applyNumberFormat="1" applyFont="1" applyBorder="1" applyAlignment="1">
      <alignment vertical="center"/>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xf>
    <xf numFmtId="0" fontId="1" fillId="5" borderId="10" xfId="0" applyFont="1" applyFill="1" applyBorder="1" applyAlignment="1">
      <alignment vertical="center"/>
    </xf>
    <xf numFmtId="0" fontId="1" fillId="5" borderId="7" xfId="0" applyFont="1" applyFill="1" applyBorder="1" applyAlignment="1">
      <alignment vertical="center"/>
    </xf>
    <xf numFmtId="0" fontId="1" fillId="0" borderId="10" xfId="0" applyFont="1" applyBorder="1" applyAlignment="1">
      <alignment vertical="center" wrapText="1"/>
    </xf>
    <xf numFmtId="0" fontId="2" fillId="6" borderId="10" xfId="0" applyFont="1" applyFill="1" applyBorder="1" applyAlignment="1">
      <alignment horizontal="center" vertical="center" wrapText="1"/>
    </xf>
    <xf numFmtId="166" fontId="2" fillId="6" borderId="10" xfId="0" applyNumberFormat="1" applyFont="1" applyFill="1" applyBorder="1" applyAlignment="1">
      <alignment horizontal="righ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2" fillId="6" borderId="10" xfId="0" applyFont="1" applyFill="1" applyBorder="1" applyAlignment="1">
      <alignment vertical="center"/>
    </xf>
    <xf numFmtId="0" fontId="1" fillId="0" borderId="10" xfId="0" applyFont="1" applyBorder="1" applyAlignment="1">
      <alignment horizontal="right" vertical="center" wrapText="1"/>
    </xf>
    <xf numFmtId="0" fontId="1" fillId="0" borderId="7" xfId="0" applyFont="1" applyBorder="1" applyAlignment="1">
      <alignment vertical="center"/>
    </xf>
    <xf numFmtId="0" fontId="3" fillId="6" borderId="10" xfId="0" applyFont="1" applyFill="1" applyBorder="1" applyAlignment="1">
      <alignment horizontal="left" vertical="center" wrapText="1"/>
    </xf>
    <xf numFmtId="0" fontId="8" fillId="6" borderId="10" xfId="0" applyFont="1" applyFill="1" applyBorder="1" applyAlignment="1">
      <alignment horizontal="center" vertical="center"/>
    </xf>
    <xf numFmtId="0" fontId="0" fillId="6" borderId="10" xfId="0" applyFill="1" applyBorder="1" applyAlignment="1">
      <alignment horizontal="left" vertical="center"/>
    </xf>
    <xf numFmtId="0" fontId="3" fillId="6" borderId="10" xfId="0" applyFont="1" applyFill="1" applyBorder="1" applyAlignment="1">
      <alignment horizontal="left" vertical="center"/>
    </xf>
    <xf numFmtId="0" fontId="2" fillId="0" borderId="10" xfId="0" applyFont="1" applyBorder="1" applyAlignment="1">
      <alignment horizontal="left" vertical="center"/>
    </xf>
    <xf numFmtId="0" fontId="2" fillId="6" borderId="10" xfId="0" applyFont="1" applyFill="1" applyBorder="1" applyAlignment="1">
      <alignment horizontal="left" vertical="center"/>
    </xf>
    <xf numFmtId="0" fontId="6" fillId="5" borderId="7" xfId="0" applyFont="1" applyFill="1" applyBorder="1" applyAlignment="1">
      <alignment horizontal="left" vertical="center" wrapText="1"/>
    </xf>
    <xf numFmtId="0" fontId="3" fillId="0" borderId="10" xfId="0" applyFont="1" applyBorder="1" applyAlignment="1">
      <alignment horizontal="left" vertical="center"/>
    </xf>
    <xf numFmtId="0" fontId="6" fillId="5" borderId="10" xfId="0" applyFont="1" applyFill="1" applyBorder="1" applyAlignment="1">
      <alignment horizontal="left" vertical="center" wrapText="1"/>
    </xf>
    <xf numFmtId="0" fontId="1" fillId="7" borderId="10" xfId="0" applyFont="1" applyFill="1" applyBorder="1" applyAlignment="1">
      <alignment vertical="center"/>
    </xf>
    <xf numFmtId="0" fontId="1" fillId="7" borderId="7" xfId="0" applyFont="1" applyFill="1" applyBorder="1" applyAlignment="1">
      <alignment vertical="center"/>
    </xf>
    <xf numFmtId="165" fontId="1" fillId="0" borderId="0" xfId="0" applyNumberFormat="1" applyFont="1" applyAlignment="1">
      <alignment horizontal="left"/>
    </xf>
    <xf numFmtId="164" fontId="1" fillId="0" borderId="0" xfId="0" applyNumberFormat="1" applyFont="1" applyAlignment="1">
      <alignment vertical="top"/>
    </xf>
    <xf numFmtId="0" fontId="10" fillId="0" borderId="0" xfId="0" applyFont="1" applyAlignment="1">
      <alignment horizontal="center" vertical="center"/>
    </xf>
    <xf numFmtId="166" fontId="1" fillId="7" borderId="10" xfId="0" applyNumberFormat="1" applyFont="1" applyFill="1" applyBorder="1" applyAlignment="1">
      <alignment horizontal="right" vertical="center"/>
    </xf>
    <xf numFmtId="166" fontId="3" fillId="5" borderId="10" xfId="0" applyNumberFormat="1" applyFont="1" applyFill="1" applyBorder="1" applyAlignment="1">
      <alignment horizontal="left" vertical="center"/>
    </xf>
    <xf numFmtId="166" fontId="1" fillId="0" borderId="10" xfId="0" applyNumberFormat="1" applyFont="1" applyBorder="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2" fontId="0" fillId="0" borderId="0" xfId="0" applyNumberFormat="1"/>
    <xf numFmtId="2" fontId="0" fillId="0" borderId="10" xfId="0" applyNumberFormat="1" applyBorder="1"/>
    <xf numFmtId="0" fontId="0" fillId="0" borderId="10" xfId="0" applyBorder="1"/>
    <xf numFmtId="2" fontId="1" fillId="0" borderId="10" xfId="0" applyNumberFormat="1" applyFont="1" applyBorder="1" applyAlignment="1">
      <alignment vertical="center"/>
    </xf>
    <xf numFmtId="2" fontId="1" fillId="4" borderId="10" xfId="0" applyNumberFormat="1" applyFont="1" applyFill="1" applyBorder="1" applyAlignment="1">
      <alignment vertical="center"/>
    </xf>
    <xf numFmtId="2" fontId="0" fillId="6" borderId="10" xfId="0" applyNumberFormat="1" applyFill="1" applyBorder="1"/>
    <xf numFmtId="2" fontId="1" fillId="6" borderId="10" xfId="0" applyNumberFormat="1" applyFont="1" applyFill="1" applyBorder="1" applyAlignment="1">
      <alignment vertical="center"/>
    </xf>
    <xf numFmtId="0" fontId="0" fillId="6" borderId="7" xfId="0" applyFill="1" applyBorder="1"/>
    <xf numFmtId="166" fontId="1" fillId="6" borderId="7" xfId="0" applyNumberFormat="1" applyFont="1" applyFill="1" applyBorder="1" applyAlignment="1">
      <alignment vertical="center"/>
    </xf>
    <xf numFmtId="166" fontId="1" fillId="4" borderId="7" xfId="0" applyNumberFormat="1" applyFont="1" applyFill="1" applyBorder="1" applyAlignment="1">
      <alignment vertical="center"/>
    </xf>
    <xf numFmtId="0" fontId="3" fillId="0" borderId="0" xfId="0" applyFont="1"/>
    <xf numFmtId="0" fontId="2" fillId="0" borderId="0" xfId="0" applyFont="1" applyAlignment="1">
      <alignment vertical="center"/>
    </xf>
    <xf numFmtId="0" fontId="2" fillId="5" borderId="0" xfId="0" applyFont="1" applyFill="1" applyAlignment="1">
      <alignment vertical="center"/>
    </xf>
    <xf numFmtId="166" fontId="2" fillId="7" borderId="10" xfId="0" applyNumberFormat="1" applyFont="1" applyFill="1" applyBorder="1" applyAlignment="1">
      <alignment horizontal="left" vertical="center"/>
    </xf>
    <xf numFmtId="0" fontId="11" fillId="0" borderId="0" xfId="0" applyFont="1" applyAlignment="1">
      <alignment horizontal="left" vertical="top"/>
    </xf>
    <xf numFmtId="166" fontId="6" fillId="5" borderId="10" xfId="0" applyNumberFormat="1" applyFont="1" applyFill="1" applyBorder="1" applyAlignment="1">
      <alignment horizontal="righ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wrapText="1"/>
    </xf>
    <xf numFmtId="0" fontId="2" fillId="5" borderId="6" xfId="0" applyFont="1" applyFill="1" applyBorder="1" applyAlignment="1">
      <alignment horizontal="center" vertical="center" wrapText="1"/>
    </xf>
  </cellXfs>
  <cellStyles count="2">
    <cellStyle name="DefaultStyle"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1"/>
  <sheetViews>
    <sheetView tabSelected="1" view="pageBreakPreview" zoomScale="60" zoomScaleNormal="100" workbookViewId="0">
      <pane xSplit="2" ySplit="5" topLeftCell="C36" activePane="bottomRight" state="frozen"/>
      <selection pane="topRight" activeCell="C1" sqref="C1"/>
      <selection pane="bottomLeft" activeCell="A5" sqref="A5"/>
      <selection pane="bottomRight" activeCell="W12" sqref="W12"/>
    </sheetView>
  </sheetViews>
  <sheetFormatPr defaultRowHeight="15"/>
  <cols>
    <col min="1" max="1" width="6" customWidth="1"/>
    <col min="2" max="2" width="10.25" hidden="1" customWidth="1"/>
    <col min="3" max="3" width="115.875" customWidth="1"/>
    <col min="4" max="4" width="0.125" customWidth="1"/>
    <col min="5" max="5" width="27.75" hidden="1" customWidth="1"/>
    <col min="6" max="6" width="24.875" hidden="1" customWidth="1"/>
    <col min="7" max="7" width="21.875" hidden="1" customWidth="1"/>
    <col min="8" max="8" width="26.875" customWidth="1"/>
    <col min="9" max="9" width="24.375" hidden="1" customWidth="1"/>
    <col min="10" max="10" width="17.125" hidden="1" customWidth="1"/>
    <col min="11" max="11" width="16.25" hidden="1" customWidth="1"/>
    <col min="12" max="12" width="0" hidden="1" customWidth="1"/>
    <col min="13" max="13" width="9" hidden="1" customWidth="1"/>
    <col min="14" max="14" width="0.25" style="88" customWidth="1"/>
    <col min="15" max="15" width="26.875" hidden="1" customWidth="1"/>
    <col min="16" max="16" width="23.125" hidden="1" customWidth="1"/>
    <col min="17" max="17" width="9" style="98" customWidth="1"/>
  </cols>
  <sheetData>
    <row r="1" spans="1:17" ht="3.75" hidden="1" customHeight="1">
      <c r="A1" s="1"/>
      <c r="B1" s="1"/>
      <c r="C1" s="1" t="s">
        <v>211</v>
      </c>
      <c r="D1" s="2" t="s">
        <v>104</v>
      </c>
      <c r="E1" s="1" t="s">
        <v>0</v>
      </c>
      <c r="F1" s="1"/>
      <c r="G1" s="104"/>
      <c r="H1" s="80">
        <v>1.0057243447999999</v>
      </c>
      <c r="I1" s="1"/>
      <c r="J1" s="105" t="s">
        <v>2</v>
      </c>
      <c r="K1" s="3">
        <v>1.0140727891000001</v>
      </c>
    </row>
    <row r="2" spans="1:17" ht="4.5" customHeight="1">
      <c r="A2" s="1"/>
      <c r="B2" s="1"/>
      <c r="C2" s="82"/>
      <c r="D2" s="2" t="s">
        <v>105</v>
      </c>
      <c r="E2" s="1"/>
      <c r="F2" s="1"/>
      <c r="G2" s="104"/>
      <c r="H2" s="80">
        <v>1.0120713661</v>
      </c>
      <c r="I2" s="1"/>
      <c r="J2" s="105"/>
      <c r="K2" s="3">
        <v>1.0125237832</v>
      </c>
    </row>
    <row r="3" spans="1:17" ht="24.75" customHeight="1">
      <c r="A3" s="1"/>
      <c r="B3" s="1"/>
      <c r="C3" s="82"/>
      <c r="D3" s="2"/>
      <c r="E3" s="1"/>
      <c r="F3" s="1"/>
      <c r="G3" s="86"/>
      <c r="H3" s="80"/>
      <c r="I3" s="1"/>
      <c r="J3" s="87"/>
      <c r="K3" s="3"/>
      <c r="N3" s="88">
        <v>191.17</v>
      </c>
    </row>
    <row r="4" spans="1:17" ht="144" customHeight="1" thickBot="1">
      <c r="A4" s="4"/>
      <c r="B4" s="5"/>
      <c r="C4" s="106" t="s">
        <v>212</v>
      </c>
      <c r="D4" s="107"/>
      <c r="E4" s="107"/>
      <c r="F4" s="1"/>
      <c r="G4" s="81" t="s">
        <v>1</v>
      </c>
      <c r="H4" s="102">
        <v>6898.6902</v>
      </c>
      <c r="I4" s="1"/>
      <c r="J4" s="1"/>
      <c r="K4" s="7"/>
    </row>
    <row r="5" spans="1:17" ht="60.75" customHeight="1" thickBot="1">
      <c r="A5" s="1"/>
      <c r="B5" s="1"/>
      <c r="C5" s="7"/>
      <c r="D5" s="8" t="s">
        <v>125</v>
      </c>
      <c r="E5" s="9" t="s">
        <v>3</v>
      </c>
      <c r="F5" s="10" t="s">
        <v>4</v>
      </c>
      <c r="G5" s="11" t="s">
        <v>5</v>
      </c>
      <c r="H5" s="12" t="s">
        <v>208</v>
      </c>
      <c r="I5" s="13" t="s">
        <v>6</v>
      </c>
      <c r="J5" s="14" t="s">
        <v>7</v>
      </c>
      <c r="K5" s="108"/>
      <c r="N5" s="89"/>
      <c r="O5" s="12" t="s">
        <v>126</v>
      </c>
      <c r="P5" s="12" t="s">
        <v>126</v>
      </c>
    </row>
    <row r="6" spans="1:17" ht="20.25" customHeight="1">
      <c r="A6" s="1"/>
      <c r="B6" s="1"/>
      <c r="C6" s="15" t="s">
        <v>8</v>
      </c>
      <c r="D6" s="16"/>
      <c r="E6" s="17"/>
      <c r="F6" s="18"/>
      <c r="G6" s="19"/>
      <c r="H6" s="20"/>
      <c r="I6" s="21"/>
      <c r="J6" s="22"/>
      <c r="K6" s="108"/>
      <c r="N6" s="93"/>
      <c r="O6" s="95"/>
      <c r="P6" s="90"/>
    </row>
    <row r="7" spans="1:17" s="23" customFormat="1" ht="32.25" customHeight="1">
      <c r="C7" s="24" t="s">
        <v>9</v>
      </c>
      <c r="D7" s="25" t="s">
        <v>10</v>
      </c>
      <c r="E7" s="26">
        <v>630.22</v>
      </c>
      <c r="F7" s="27" t="e">
        <f>E7-#REF!</f>
        <v>#REF!</v>
      </c>
      <c r="G7" s="28" t="s">
        <v>209</v>
      </c>
      <c r="H7" s="103">
        <v>954.08</v>
      </c>
      <c r="I7" s="29">
        <v>725.33</v>
      </c>
      <c r="J7" s="30">
        <f>H7-I7</f>
        <v>228.75</v>
      </c>
      <c r="K7" s="108"/>
      <c r="N7" s="91"/>
      <c r="O7" s="68">
        <v>901.46</v>
      </c>
      <c r="P7" s="64">
        <v>906.82</v>
      </c>
      <c r="Q7" s="99"/>
    </row>
    <row r="8" spans="1:17" s="23" customFormat="1" ht="32.25" customHeight="1">
      <c r="C8" s="24" t="s">
        <v>11</v>
      </c>
      <c r="D8" s="25" t="s">
        <v>128</v>
      </c>
      <c r="E8" s="26">
        <v>384.07</v>
      </c>
      <c r="F8" s="27" t="e">
        <f>E8-#REF!</f>
        <v>#REF!</v>
      </c>
      <c r="G8" s="31">
        <v>0.84</v>
      </c>
      <c r="H8" s="32">
        <f>(G8*H4*H1)/12</f>
        <v>485.67264769612262</v>
      </c>
      <c r="I8" s="32">
        <v>420.42</v>
      </c>
      <c r="J8" s="30">
        <f t="shared" ref="J8:J71" si="0">H8-I8</f>
        <v>65.252647696122608</v>
      </c>
      <c r="K8" s="108"/>
      <c r="N8" s="91">
        <f>G8*$N$3/12</f>
        <v>13.3819</v>
      </c>
      <c r="O8" s="27">
        <f>H8+N8</f>
        <v>499.0545476961226</v>
      </c>
      <c r="P8" s="91">
        <f>SUM(O8+Q8)</f>
        <v>499.0545476961226</v>
      </c>
      <c r="Q8" s="99"/>
    </row>
    <row r="9" spans="1:17" s="23" customFormat="1" ht="44.25" customHeight="1">
      <c r="C9" s="24" t="s">
        <v>12</v>
      </c>
      <c r="D9" s="25" t="s">
        <v>129</v>
      </c>
      <c r="E9" s="26">
        <v>1325.96</v>
      </c>
      <c r="F9" s="27" t="e">
        <f>E9-#REF!</f>
        <v>#REF!</v>
      </c>
      <c r="G9" s="31">
        <v>2.9</v>
      </c>
      <c r="H9" s="32">
        <f>(G9*H1*H4)/12</f>
        <v>1676.7269979985185</v>
      </c>
      <c r="I9" s="32">
        <v>1451.45</v>
      </c>
      <c r="J9" s="30">
        <f t="shared" si="0"/>
        <v>225.27699799851848</v>
      </c>
      <c r="K9" s="108"/>
      <c r="N9" s="91">
        <f>G9*$N$3/12</f>
        <v>46.199416666666657</v>
      </c>
      <c r="O9" s="27">
        <f>H9+N9</f>
        <v>1722.9264146651851</v>
      </c>
      <c r="P9" s="91">
        <f t="shared" ref="P9:P15" si="1">SUM(O9+Q9)</f>
        <v>1722.9264146651851</v>
      </c>
      <c r="Q9" s="99"/>
    </row>
    <row r="10" spans="1:17" s="23" customFormat="1" ht="53.25" customHeight="1">
      <c r="C10" s="33" t="s">
        <v>13</v>
      </c>
      <c r="D10" s="25" t="s">
        <v>130</v>
      </c>
      <c r="E10" s="26">
        <v>1668.88</v>
      </c>
      <c r="F10" s="27" t="e">
        <f>E10-#REF!</f>
        <v>#REF!</v>
      </c>
      <c r="G10" s="31">
        <v>3.65</v>
      </c>
      <c r="H10" s="32">
        <f>(G10*H1*H4)/12</f>
        <v>2110.3632905843424</v>
      </c>
      <c r="I10" s="32">
        <v>1826.82</v>
      </c>
      <c r="J10" s="30">
        <f t="shared" si="0"/>
        <v>283.54329058434246</v>
      </c>
      <c r="K10" s="108"/>
      <c r="N10" s="91">
        <f>G10*$N$3/12</f>
        <v>58.147541666666662</v>
      </c>
      <c r="O10" s="27">
        <f>H10+N10</f>
        <v>2168.5108322510091</v>
      </c>
      <c r="P10" s="91">
        <f t="shared" si="1"/>
        <v>2168.5108322510091</v>
      </c>
      <c r="Q10" s="99"/>
    </row>
    <row r="11" spans="1:17" s="23" customFormat="1" ht="52.5" customHeight="1">
      <c r="C11" s="24" t="s">
        <v>14</v>
      </c>
      <c r="D11" s="25" t="s">
        <v>131</v>
      </c>
      <c r="E11" s="26">
        <v>1646.02</v>
      </c>
      <c r="F11" s="27" t="e">
        <f>E11-#REF!</f>
        <v>#REF!</v>
      </c>
      <c r="G11" s="31">
        <v>3.6</v>
      </c>
      <c r="H11" s="32">
        <f>(G11*H1*H4)/12</f>
        <v>2081.4542044119544</v>
      </c>
      <c r="I11" s="32">
        <v>1801.8</v>
      </c>
      <c r="J11" s="30">
        <f t="shared" si="0"/>
        <v>279.65420441195442</v>
      </c>
      <c r="K11" s="108"/>
      <c r="N11" s="91">
        <f t="shared" ref="N11:N74" si="2">G11*$N$3/12</f>
        <v>57.350999999999999</v>
      </c>
      <c r="O11" s="27">
        <f t="shared" ref="O11:O74" si="3">H11+N11</f>
        <v>2138.8052044119545</v>
      </c>
      <c r="P11" s="91">
        <f t="shared" si="1"/>
        <v>2138.8052044119545</v>
      </c>
      <c r="Q11" s="99"/>
    </row>
    <row r="12" spans="1:17" s="23" customFormat="1" ht="46.5" customHeight="1">
      <c r="C12" s="33" t="s">
        <v>15</v>
      </c>
      <c r="D12" s="25" t="s">
        <v>132</v>
      </c>
      <c r="E12" s="26">
        <v>1988.94</v>
      </c>
      <c r="F12" s="27" t="e">
        <f>E12-#REF!</f>
        <v>#REF!</v>
      </c>
      <c r="G12" s="31">
        <v>4.3499999999999996</v>
      </c>
      <c r="H12" s="32">
        <f>(G12*H1*H4)/12</f>
        <v>2515.0904969977778</v>
      </c>
      <c r="I12" s="32">
        <v>2177.17</v>
      </c>
      <c r="J12" s="30">
        <f t="shared" si="0"/>
        <v>337.92049699777772</v>
      </c>
      <c r="K12" s="108"/>
      <c r="N12" s="91">
        <f t="shared" si="2"/>
        <v>69.299124999999989</v>
      </c>
      <c r="O12" s="27">
        <f t="shared" si="3"/>
        <v>2584.3896219977778</v>
      </c>
      <c r="P12" s="91">
        <f t="shared" si="1"/>
        <v>2584.3896219977778</v>
      </c>
      <c r="Q12" s="99"/>
    </row>
    <row r="13" spans="1:17" s="23" customFormat="1" ht="43.5" customHeight="1">
      <c r="C13" s="24" t="s">
        <v>16</v>
      </c>
      <c r="D13" s="25" t="s">
        <v>133</v>
      </c>
      <c r="E13" s="26">
        <v>4343.66</v>
      </c>
      <c r="F13" s="27" t="e">
        <f>E13-#REF!</f>
        <v>#REF!</v>
      </c>
      <c r="G13" s="31">
        <v>9.5</v>
      </c>
      <c r="H13" s="32">
        <f>(G13*H1*H4)/12</f>
        <v>5492.7263727537675</v>
      </c>
      <c r="I13" s="32">
        <v>4754.75</v>
      </c>
      <c r="J13" s="30">
        <f t="shared" si="0"/>
        <v>737.97637275376746</v>
      </c>
      <c r="K13" s="108"/>
      <c r="N13" s="91">
        <f t="shared" si="2"/>
        <v>151.34291666666664</v>
      </c>
      <c r="O13" s="27">
        <f t="shared" si="3"/>
        <v>5644.069289420434</v>
      </c>
      <c r="P13" s="91">
        <f t="shared" si="1"/>
        <v>5644.069289420434</v>
      </c>
      <c r="Q13" s="99"/>
    </row>
    <row r="14" spans="1:17" s="23" customFormat="1" ht="38.25" hidden="1" customHeight="1">
      <c r="C14" s="24" t="s">
        <v>17</v>
      </c>
      <c r="D14" s="25"/>
      <c r="E14" s="26">
        <v>337.58</v>
      </c>
      <c r="F14" s="27" t="e">
        <f>E14-#REF!</f>
        <v>#REF!</v>
      </c>
      <c r="G14" s="31"/>
      <c r="H14" s="32">
        <f>H8*K8*G14</f>
        <v>0</v>
      </c>
      <c r="I14" s="32"/>
      <c r="J14" s="30">
        <f t="shared" si="0"/>
        <v>0</v>
      </c>
      <c r="K14" s="108"/>
      <c r="N14" s="91">
        <f t="shared" si="2"/>
        <v>0</v>
      </c>
      <c r="O14" s="27">
        <f t="shared" si="3"/>
        <v>0</v>
      </c>
      <c r="P14" s="91">
        <f t="shared" si="1"/>
        <v>0</v>
      </c>
      <c r="Q14" s="99"/>
    </row>
    <row r="15" spans="1:17" s="23" customFormat="1" ht="60.75" customHeight="1">
      <c r="C15" s="33" t="s">
        <v>18</v>
      </c>
      <c r="D15" s="25" t="s">
        <v>134</v>
      </c>
      <c r="E15" s="26">
        <v>4686.58</v>
      </c>
      <c r="F15" s="27" t="e">
        <f>E15-#REF!</f>
        <v>#REF!</v>
      </c>
      <c r="G15" s="31">
        <v>10.25</v>
      </c>
      <c r="H15" s="32">
        <f>(H4*H1*G15)/12</f>
        <v>5926.3626653395922</v>
      </c>
      <c r="I15" s="32">
        <v>5130.12</v>
      </c>
      <c r="J15" s="30">
        <f t="shared" si="0"/>
        <v>796.24266533959235</v>
      </c>
      <c r="K15" s="108"/>
      <c r="N15" s="91">
        <f t="shared" si="2"/>
        <v>163.29104166666664</v>
      </c>
      <c r="O15" s="27">
        <f t="shared" si="3"/>
        <v>6089.6537070062586</v>
      </c>
      <c r="P15" s="91">
        <f t="shared" si="1"/>
        <v>6089.6537070062586</v>
      </c>
      <c r="Q15" s="99"/>
    </row>
    <row r="16" spans="1:17" s="23" customFormat="1" ht="27.75" customHeight="1">
      <c r="C16" s="34" t="s">
        <v>19</v>
      </c>
      <c r="D16" s="35"/>
      <c r="E16" s="36"/>
      <c r="F16" s="37"/>
      <c r="G16" s="38"/>
      <c r="H16" s="39"/>
      <c r="I16" s="39"/>
      <c r="J16" s="40">
        <f t="shared" si="0"/>
        <v>0</v>
      </c>
      <c r="K16" s="108"/>
      <c r="N16" s="94">
        <f t="shared" si="2"/>
        <v>0</v>
      </c>
      <c r="O16" s="96"/>
      <c r="P16" s="36"/>
      <c r="Q16" s="99"/>
    </row>
    <row r="17" spans="3:17" s="23" customFormat="1" ht="27.75" customHeight="1">
      <c r="C17" s="33" t="s">
        <v>9</v>
      </c>
      <c r="D17" s="25" t="s">
        <v>20</v>
      </c>
      <c r="E17" s="41">
        <v>840.29</v>
      </c>
      <c r="F17" s="30" t="e">
        <f>E17-#REF!</f>
        <v>#REF!</v>
      </c>
      <c r="G17" s="30" t="s">
        <v>210</v>
      </c>
      <c r="H17" s="30">
        <v>1272.1099999999999</v>
      </c>
      <c r="I17" s="32">
        <v>967.11</v>
      </c>
      <c r="J17" s="30">
        <f t="shared" si="0"/>
        <v>304.99999999999989</v>
      </c>
      <c r="K17" s="108"/>
      <c r="N17" s="91" t="e">
        <f t="shared" si="2"/>
        <v>#VALUE!</v>
      </c>
      <c r="O17" s="27">
        <v>1201.95</v>
      </c>
      <c r="P17" s="64">
        <v>1209.0899999999999</v>
      </c>
      <c r="Q17" s="99"/>
    </row>
    <row r="18" spans="3:17" s="23" customFormat="1" ht="27.75" customHeight="1">
      <c r="C18" s="24" t="s">
        <v>11</v>
      </c>
      <c r="D18" s="25" t="s">
        <v>128</v>
      </c>
      <c r="E18" s="41">
        <v>384.07</v>
      </c>
      <c r="F18" s="30" t="e">
        <f>E18-#REF!</f>
        <v>#REF!</v>
      </c>
      <c r="G18" s="31">
        <v>0.84</v>
      </c>
      <c r="H18" s="32">
        <f>(H1*H4*G18)/12</f>
        <v>485.67264769612262</v>
      </c>
      <c r="I18" s="32">
        <v>420.42</v>
      </c>
      <c r="J18" s="30">
        <f t="shared" si="0"/>
        <v>65.252647696122608</v>
      </c>
      <c r="K18" s="108"/>
      <c r="N18" s="91">
        <f t="shared" si="2"/>
        <v>13.3819</v>
      </c>
      <c r="O18" s="27">
        <f t="shared" si="3"/>
        <v>499.0545476961226</v>
      </c>
      <c r="P18" s="85">
        <f>SUM(O18+Q18)</f>
        <v>499.0545476961226</v>
      </c>
      <c r="Q18" s="99"/>
    </row>
    <row r="19" spans="3:17" s="23" customFormat="1" ht="49.5" customHeight="1">
      <c r="C19" s="24" t="s">
        <v>12</v>
      </c>
      <c r="D19" s="25" t="s">
        <v>129</v>
      </c>
      <c r="E19" s="26">
        <v>1325.96</v>
      </c>
      <c r="F19" s="30" t="e">
        <f>E19-#REF!</f>
        <v>#REF!</v>
      </c>
      <c r="G19" s="31">
        <v>2.9</v>
      </c>
      <c r="H19" s="32">
        <f>(G19*H4*H1)/12</f>
        <v>1676.7269979985188</v>
      </c>
      <c r="I19" s="32">
        <v>1451.45</v>
      </c>
      <c r="J19" s="30">
        <f t="shared" si="0"/>
        <v>225.27699799851871</v>
      </c>
      <c r="K19" s="108"/>
      <c r="N19" s="91">
        <f t="shared" si="2"/>
        <v>46.199416666666657</v>
      </c>
      <c r="O19" s="27">
        <f t="shared" si="3"/>
        <v>1722.9264146651853</v>
      </c>
      <c r="P19" s="85">
        <f t="shared" ref="P19:P25" si="4">SUM(O19+Q19)</f>
        <v>1722.9264146651853</v>
      </c>
      <c r="Q19" s="99"/>
    </row>
    <row r="20" spans="3:17" s="23" customFormat="1" ht="51" customHeight="1">
      <c r="C20" s="33" t="s">
        <v>13</v>
      </c>
      <c r="D20" s="25" t="s">
        <v>130</v>
      </c>
      <c r="E20" s="26">
        <v>1668.88</v>
      </c>
      <c r="F20" s="30" t="e">
        <f>E20-#REF!</f>
        <v>#REF!</v>
      </c>
      <c r="G20" s="31">
        <v>3.65</v>
      </c>
      <c r="H20" s="32">
        <f>(G20*H4*H1)/12</f>
        <v>2110.3632905843424</v>
      </c>
      <c r="I20" s="32">
        <v>1826.82</v>
      </c>
      <c r="J20" s="30">
        <f t="shared" si="0"/>
        <v>283.54329058434246</v>
      </c>
      <c r="K20" s="108"/>
      <c r="N20" s="91">
        <f t="shared" si="2"/>
        <v>58.147541666666662</v>
      </c>
      <c r="O20" s="27">
        <f t="shared" si="3"/>
        <v>2168.5108322510091</v>
      </c>
      <c r="P20" s="85">
        <f t="shared" si="4"/>
        <v>2168.5108322510091</v>
      </c>
      <c r="Q20" s="99"/>
    </row>
    <row r="21" spans="3:17" s="23" customFormat="1" ht="46.5" customHeight="1">
      <c r="C21" s="24" t="s">
        <v>21</v>
      </c>
      <c r="D21" s="25" t="s">
        <v>131</v>
      </c>
      <c r="E21" s="26">
        <v>1646.02</v>
      </c>
      <c r="F21" s="30" t="e">
        <f>E21-#REF!</f>
        <v>#REF!</v>
      </c>
      <c r="G21" s="31">
        <v>3.6</v>
      </c>
      <c r="H21" s="32">
        <f>(H4*H1*G21)/12</f>
        <v>2081.4542044119544</v>
      </c>
      <c r="I21" s="32">
        <v>1801.8</v>
      </c>
      <c r="J21" s="30">
        <f t="shared" si="0"/>
        <v>279.65420441195442</v>
      </c>
      <c r="K21" s="108"/>
      <c r="N21" s="91">
        <f t="shared" si="2"/>
        <v>57.350999999999999</v>
      </c>
      <c r="O21" s="27">
        <f t="shared" si="3"/>
        <v>2138.8052044119545</v>
      </c>
      <c r="P21" s="85">
        <f t="shared" si="4"/>
        <v>2138.8052044119545</v>
      </c>
      <c r="Q21" s="99"/>
    </row>
    <row r="22" spans="3:17" s="23" customFormat="1" ht="47.25" customHeight="1">
      <c r="C22" s="33" t="s">
        <v>15</v>
      </c>
      <c r="D22" s="25" t="s">
        <v>132</v>
      </c>
      <c r="E22" s="26">
        <v>1988.94</v>
      </c>
      <c r="F22" s="30" t="e">
        <f>E22-#REF!</f>
        <v>#REF!</v>
      </c>
      <c r="G22" s="31">
        <v>4.3499999999999996</v>
      </c>
      <c r="H22" s="32">
        <f>(G22*H1*H4)/12</f>
        <v>2515.0904969977778</v>
      </c>
      <c r="I22" s="32">
        <v>2177.17</v>
      </c>
      <c r="J22" s="30">
        <f t="shared" si="0"/>
        <v>337.92049699777772</v>
      </c>
      <c r="K22" s="108"/>
      <c r="N22" s="91">
        <f t="shared" si="2"/>
        <v>69.299124999999989</v>
      </c>
      <c r="O22" s="27">
        <f t="shared" si="3"/>
        <v>2584.3896219977778</v>
      </c>
      <c r="P22" s="85">
        <f t="shared" si="4"/>
        <v>2584.3896219977778</v>
      </c>
      <c r="Q22" s="99"/>
    </row>
    <row r="23" spans="3:17" s="23" customFormat="1" ht="38.25" hidden="1" customHeight="1">
      <c r="C23" s="24" t="s">
        <v>16</v>
      </c>
      <c r="D23" s="25" t="s">
        <v>22</v>
      </c>
      <c r="E23" s="26">
        <v>4276.03</v>
      </c>
      <c r="F23" s="30" t="e">
        <f>E23-#REF!</f>
        <v>#REF!</v>
      </c>
      <c r="G23" s="31"/>
      <c r="H23" s="32"/>
      <c r="I23" s="32"/>
      <c r="J23" s="30">
        <f t="shared" si="0"/>
        <v>0</v>
      </c>
      <c r="K23" s="108"/>
      <c r="N23" s="91">
        <f t="shared" si="2"/>
        <v>0</v>
      </c>
      <c r="O23" s="27">
        <f t="shared" si="3"/>
        <v>0</v>
      </c>
      <c r="P23" s="85">
        <f t="shared" si="4"/>
        <v>0</v>
      </c>
      <c r="Q23" s="99"/>
    </row>
    <row r="24" spans="3:17" s="23" customFormat="1" ht="42.75" customHeight="1">
      <c r="C24" s="24" t="s">
        <v>16</v>
      </c>
      <c r="D24" s="25" t="s">
        <v>133</v>
      </c>
      <c r="E24" s="26">
        <v>4343.66</v>
      </c>
      <c r="F24" s="30" t="e">
        <f>E24-#REF!</f>
        <v>#REF!</v>
      </c>
      <c r="G24" s="31">
        <v>9.5</v>
      </c>
      <c r="H24" s="32">
        <f>(H4*H1*G24)/12</f>
        <v>5492.7263727537684</v>
      </c>
      <c r="I24" s="32">
        <v>4754.75</v>
      </c>
      <c r="J24" s="30">
        <f t="shared" si="0"/>
        <v>737.97637275376837</v>
      </c>
      <c r="K24" s="108"/>
      <c r="N24" s="91">
        <f t="shared" si="2"/>
        <v>151.34291666666664</v>
      </c>
      <c r="O24" s="27">
        <f t="shared" si="3"/>
        <v>5644.0692894204349</v>
      </c>
      <c r="P24" s="85">
        <f t="shared" si="4"/>
        <v>5644.0692894204349</v>
      </c>
      <c r="Q24" s="99"/>
    </row>
    <row r="25" spans="3:17" s="23" customFormat="1" ht="64.5" customHeight="1">
      <c r="C25" s="33" t="s">
        <v>18</v>
      </c>
      <c r="D25" s="25" t="s">
        <v>134</v>
      </c>
      <c r="E25" s="26">
        <v>4686.58</v>
      </c>
      <c r="F25" s="30" t="e">
        <f>E25-#REF!</f>
        <v>#REF!</v>
      </c>
      <c r="G25" s="31">
        <v>10.25</v>
      </c>
      <c r="H25" s="32">
        <f>(G25*H1*H4)/12</f>
        <v>5926.3626653395913</v>
      </c>
      <c r="I25" s="32">
        <v>5130.12</v>
      </c>
      <c r="J25" s="30">
        <f t="shared" si="0"/>
        <v>796.24266533959144</v>
      </c>
      <c r="K25" s="108"/>
      <c r="N25" s="91">
        <f t="shared" si="2"/>
        <v>163.29104166666664</v>
      </c>
      <c r="O25" s="27">
        <f t="shared" si="3"/>
        <v>6089.6537070062577</v>
      </c>
      <c r="P25" s="85">
        <f t="shared" si="4"/>
        <v>6089.6537070062577</v>
      </c>
      <c r="Q25" s="99"/>
    </row>
    <row r="26" spans="3:17" s="23" customFormat="1" ht="15.75">
      <c r="C26" s="34" t="s">
        <v>23</v>
      </c>
      <c r="D26" s="35"/>
      <c r="E26" s="36"/>
      <c r="F26" s="37"/>
      <c r="G26" s="38"/>
      <c r="H26" s="42"/>
      <c r="I26" s="42"/>
      <c r="J26" s="43">
        <f t="shared" si="0"/>
        <v>0</v>
      </c>
      <c r="K26" s="108"/>
      <c r="N26" s="94"/>
      <c r="O26" s="96"/>
      <c r="P26" s="36"/>
      <c r="Q26" s="99"/>
    </row>
    <row r="27" spans="3:17" s="23" customFormat="1" ht="15.75">
      <c r="C27" s="33" t="s">
        <v>24</v>
      </c>
      <c r="D27" s="44" t="s">
        <v>135</v>
      </c>
      <c r="E27" s="45">
        <v>468.66</v>
      </c>
      <c r="F27" s="27" t="e">
        <f>E27-#REF!</f>
        <v>#REF!</v>
      </c>
      <c r="G27" s="31">
        <v>1.0249999999999999</v>
      </c>
      <c r="H27" s="32">
        <f>(G27*H1*H4)/12</f>
        <v>592.63626653395909</v>
      </c>
      <c r="I27" s="32">
        <v>513.01</v>
      </c>
      <c r="J27" s="30">
        <f t="shared" si="0"/>
        <v>79.626266533959097</v>
      </c>
      <c r="K27" s="108"/>
      <c r="N27" s="91">
        <f t="shared" si="2"/>
        <v>16.329104166666664</v>
      </c>
      <c r="O27" s="27">
        <f t="shared" si="3"/>
        <v>608.96537070062573</v>
      </c>
      <c r="P27" s="85">
        <f>SUM(O27+Q27)</f>
        <v>608.96537070062573</v>
      </c>
      <c r="Q27" s="99"/>
    </row>
    <row r="28" spans="3:17" s="23" customFormat="1" ht="15.75">
      <c r="C28" s="33" t="s">
        <v>25</v>
      </c>
      <c r="D28" s="44" t="s">
        <v>136</v>
      </c>
      <c r="E28" s="45">
        <v>498.38</v>
      </c>
      <c r="F28" s="27" t="e">
        <f>E28-#REF!</f>
        <v>#REF!</v>
      </c>
      <c r="G28" s="31">
        <v>1.0900000000000001</v>
      </c>
      <c r="H28" s="32">
        <f>(G28*H1*H4)/12</f>
        <v>630.21807855806401</v>
      </c>
      <c r="I28" s="32">
        <v>545.54</v>
      </c>
      <c r="J28" s="30">
        <f t="shared" si="0"/>
        <v>84.678078558064044</v>
      </c>
      <c r="K28" s="108"/>
      <c r="N28" s="91">
        <f t="shared" si="2"/>
        <v>17.364608333333333</v>
      </c>
      <c r="O28" s="27">
        <v>582.20000000000005</v>
      </c>
      <c r="P28" s="85">
        <f t="shared" ref="P28:P55" si="5">SUM(O28+Q28)</f>
        <v>582.20000000000005</v>
      </c>
      <c r="Q28" s="99"/>
    </row>
    <row r="29" spans="3:17" s="23" customFormat="1" ht="15.75">
      <c r="C29" s="33" t="s">
        <v>26</v>
      </c>
      <c r="D29" s="44" t="s">
        <v>137</v>
      </c>
      <c r="E29" s="45">
        <v>285.77</v>
      </c>
      <c r="F29" s="27" t="e">
        <f>E29-#REF!</f>
        <v>#REF!</v>
      </c>
      <c r="G29" s="31">
        <v>0.82499999999999996</v>
      </c>
      <c r="H29" s="32">
        <f>(G29*H1*H4)/12</f>
        <v>476.99992184440612</v>
      </c>
      <c r="I29" s="32">
        <v>312.81</v>
      </c>
      <c r="J29" s="30">
        <f t="shared" si="0"/>
        <v>164.18992184440611</v>
      </c>
      <c r="K29" s="108"/>
      <c r="N29" s="91">
        <f t="shared" si="2"/>
        <v>13.142937499999997</v>
      </c>
      <c r="O29" s="27">
        <f t="shared" si="3"/>
        <v>490.14285934440613</v>
      </c>
      <c r="P29" s="85">
        <f t="shared" si="5"/>
        <v>490.14285934440613</v>
      </c>
      <c r="Q29" s="99"/>
    </row>
    <row r="30" spans="3:17" s="23" customFormat="1" ht="15.75">
      <c r="C30" s="33" t="s">
        <v>27</v>
      </c>
      <c r="D30" s="44" t="s">
        <v>138</v>
      </c>
      <c r="E30" s="45">
        <v>315.49</v>
      </c>
      <c r="F30" s="27" t="e">
        <f>E30-#REF!</f>
        <v>#REF!</v>
      </c>
      <c r="G30" s="31">
        <v>1.135</v>
      </c>
      <c r="H30" s="32">
        <f>(G30*H4*H1)/12</f>
        <v>656.23625611321336</v>
      </c>
      <c r="I30" s="32">
        <v>345.34</v>
      </c>
      <c r="J30" s="30">
        <f t="shared" si="0"/>
        <v>310.89625611321338</v>
      </c>
      <c r="K30" s="108"/>
      <c r="N30" s="91">
        <f t="shared" si="2"/>
        <v>18.081495833333332</v>
      </c>
      <c r="O30" s="27">
        <f t="shared" si="3"/>
        <v>674.31775194654665</v>
      </c>
      <c r="P30" s="85">
        <f t="shared" si="5"/>
        <v>674.31775194654665</v>
      </c>
      <c r="Q30" s="99"/>
    </row>
    <row r="31" spans="3:17" s="23" customFormat="1" ht="15.75">
      <c r="C31" s="33" t="s">
        <v>28</v>
      </c>
      <c r="D31" s="44" t="s">
        <v>139</v>
      </c>
      <c r="E31" s="45">
        <v>560.1</v>
      </c>
      <c r="F31" s="27" t="e">
        <f>E31-#REF!</f>
        <v>#REF!</v>
      </c>
      <c r="G31" s="31">
        <v>1.2250000000000001</v>
      </c>
      <c r="H31" s="32">
        <f>(H4*H1*G31)/12</f>
        <v>708.27261122351229</v>
      </c>
      <c r="I31" s="32">
        <v>613.11</v>
      </c>
      <c r="J31" s="30">
        <f t="shared" si="0"/>
        <v>95.162611223512272</v>
      </c>
      <c r="K31" s="108"/>
      <c r="N31" s="91">
        <f t="shared" si="2"/>
        <v>19.515270833333336</v>
      </c>
      <c r="O31" s="27">
        <f t="shared" si="3"/>
        <v>727.78788205684566</v>
      </c>
      <c r="P31" s="85">
        <f t="shared" si="5"/>
        <v>727.78788205684566</v>
      </c>
      <c r="Q31" s="99"/>
    </row>
    <row r="32" spans="3:17" s="23" customFormat="1" ht="15.75">
      <c r="C32" s="33" t="s">
        <v>29</v>
      </c>
      <c r="D32" s="44" t="s">
        <v>140</v>
      </c>
      <c r="E32" s="45"/>
      <c r="F32" s="27"/>
      <c r="G32" s="31">
        <v>2.2250000000000001</v>
      </c>
      <c r="H32" s="32">
        <f>(H4*H1*G32)/12</f>
        <v>1286.4543346712774</v>
      </c>
      <c r="I32" s="46">
        <v>1113.6099999999999</v>
      </c>
      <c r="J32" s="30">
        <f t="shared" si="0"/>
        <v>172.84433467127747</v>
      </c>
      <c r="K32" s="108"/>
      <c r="N32" s="91">
        <f t="shared" si="2"/>
        <v>35.446104166666665</v>
      </c>
      <c r="O32" s="27">
        <f t="shared" si="3"/>
        <v>1321.900438837944</v>
      </c>
      <c r="P32" s="85">
        <f t="shared" si="5"/>
        <v>1321.900438837944</v>
      </c>
      <c r="Q32" s="99"/>
    </row>
    <row r="33" spans="3:17" s="23" customFormat="1" ht="15.75">
      <c r="C33" s="24" t="s">
        <v>30</v>
      </c>
      <c r="D33" s="44" t="s">
        <v>141</v>
      </c>
      <c r="E33" s="45">
        <v>589.82000000000005</v>
      </c>
      <c r="F33" s="27" t="e">
        <f>E33-#REF!</f>
        <v>#REF!</v>
      </c>
      <c r="G33" s="31">
        <v>1.29</v>
      </c>
      <c r="H33" s="32">
        <f>(G33*H4*H1)/12</f>
        <v>745.85442324761698</v>
      </c>
      <c r="I33" s="32">
        <v>645.64</v>
      </c>
      <c r="J33" s="30">
        <f t="shared" si="0"/>
        <v>100.21442324761699</v>
      </c>
      <c r="K33" s="108"/>
      <c r="N33" s="91">
        <f t="shared" si="2"/>
        <v>20.550774999999998</v>
      </c>
      <c r="O33" s="27">
        <f t="shared" si="3"/>
        <v>766.40519824761702</v>
      </c>
      <c r="P33" s="85">
        <f t="shared" si="5"/>
        <v>766.40519824761702</v>
      </c>
      <c r="Q33" s="99"/>
    </row>
    <row r="34" spans="3:17" s="23" customFormat="1" ht="60.75" customHeight="1">
      <c r="C34" s="24" t="s">
        <v>31</v>
      </c>
      <c r="D34" s="44" t="s">
        <v>142</v>
      </c>
      <c r="E34" s="45">
        <v>1108.78</v>
      </c>
      <c r="F34" s="27" t="e">
        <f>E34-#REF!</f>
        <v>#REF!</v>
      </c>
      <c r="G34" s="31">
        <v>2.4249999999999998</v>
      </c>
      <c r="H34" s="32">
        <f>(G34*H4*H1)/12</f>
        <v>1402.0906793608301</v>
      </c>
      <c r="I34" s="32">
        <v>1213.71</v>
      </c>
      <c r="J34" s="30">
        <f t="shared" si="0"/>
        <v>188.38067936083007</v>
      </c>
      <c r="K34" s="108"/>
      <c r="N34" s="91">
        <f t="shared" si="2"/>
        <v>38.63227083333333</v>
      </c>
      <c r="O34" s="27">
        <f t="shared" si="3"/>
        <v>1440.7229501941633</v>
      </c>
      <c r="P34" s="85">
        <f t="shared" si="5"/>
        <v>1440.7229501941633</v>
      </c>
      <c r="Q34" s="99"/>
    </row>
    <row r="35" spans="3:17" s="23" customFormat="1" ht="51" customHeight="1">
      <c r="C35" s="24" t="s">
        <v>32</v>
      </c>
      <c r="D35" s="44" t="s">
        <v>143</v>
      </c>
      <c r="E35" s="45">
        <v>1200.22</v>
      </c>
      <c r="F35" s="27" t="e">
        <f>E35-#REF!</f>
        <v>#REF!</v>
      </c>
      <c r="G35" s="31">
        <v>2.625</v>
      </c>
      <c r="H35" s="32">
        <f>(H4*H1*G35)/12</f>
        <v>1517.7270240503833</v>
      </c>
      <c r="I35" s="32">
        <v>1313.81</v>
      </c>
      <c r="J35" s="30">
        <f t="shared" si="0"/>
        <v>203.91702405038336</v>
      </c>
      <c r="K35" s="108"/>
      <c r="N35" s="91">
        <f t="shared" si="2"/>
        <v>41.818437499999995</v>
      </c>
      <c r="O35" s="27">
        <f t="shared" si="3"/>
        <v>1559.5454615503834</v>
      </c>
      <c r="P35" s="85">
        <f t="shared" si="5"/>
        <v>1559.5454615503834</v>
      </c>
      <c r="Q35" s="99"/>
    </row>
    <row r="36" spans="3:17" s="23" customFormat="1" ht="48" customHeight="1">
      <c r="C36" s="33" t="s">
        <v>33</v>
      </c>
      <c r="D36" s="44" t="s">
        <v>145</v>
      </c>
      <c r="E36" s="45">
        <v>1138.5</v>
      </c>
      <c r="F36" s="27" t="e">
        <f>E36-#REF!</f>
        <v>#REF!</v>
      </c>
      <c r="G36" s="31">
        <v>2.4900000000000002</v>
      </c>
      <c r="H36" s="32">
        <f>(G36*H4*H1)/12</f>
        <v>1439.672491384935</v>
      </c>
      <c r="I36" s="32">
        <v>1246.24</v>
      </c>
      <c r="J36" s="30">
        <f t="shared" si="0"/>
        <v>193.43249138493502</v>
      </c>
      <c r="K36" s="108"/>
      <c r="N36" s="91">
        <f t="shared" si="2"/>
        <v>39.667774999999999</v>
      </c>
      <c r="O36" s="27">
        <f t="shared" si="3"/>
        <v>1479.3402663849349</v>
      </c>
      <c r="P36" s="85">
        <f t="shared" si="5"/>
        <v>1479.3402663849349</v>
      </c>
      <c r="Q36" s="99"/>
    </row>
    <row r="37" spans="3:17" s="23" customFormat="1" ht="45.75" customHeight="1">
      <c r="C37" s="33" t="s">
        <v>34</v>
      </c>
      <c r="D37" s="44" t="s">
        <v>144</v>
      </c>
      <c r="E37" s="45">
        <v>1229.94</v>
      </c>
      <c r="F37" s="27" t="e">
        <f>E37-#REF!</f>
        <v>#REF!</v>
      </c>
      <c r="G37" s="31">
        <v>2.69</v>
      </c>
      <c r="H37" s="32">
        <f>(G37*H4*H1)/12</f>
        <v>1555.308836074488</v>
      </c>
      <c r="I37" s="32">
        <v>1346.34</v>
      </c>
      <c r="J37" s="30">
        <f t="shared" si="0"/>
        <v>208.96883607448808</v>
      </c>
      <c r="K37" s="108"/>
      <c r="N37" s="91">
        <f t="shared" si="2"/>
        <v>42.853941666666664</v>
      </c>
      <c r="O37" s="27">
        <f t="shared" si="3"/>
        <v>1598.1627777411547</v>
      </c>
      <c r="P37" s="85">
        <f t="shared" si="5"/>
        <v>1598.1627777411547</v>
      </c>
      <c r="Q37" s="99"/>
    </row>
    <row r="38" spans="3:17" s="23" customFormat="1" ht="39.75" customHeight="1">
      <c r="C38" s="24" t="s">
        <v>35</v>
      </c>
      <c r="D38" s="44" t="s">
        <v>146</v>
      </c>
      <c r="E38" s="45">
        <v>1794.62</v>
      </c>
      <c r="F38" s="27" t="e">
        <f>E38-#REF!</f>
        <v>#REF!</v>
      </c>
      <c r="G38" s="31">
        <v>3.9249999999999998</v>
      </c>
      <c r="H38" s="32">
        <f>(G38*H4*H1)/12</f>
        <v>2269.3632645324774</v>
      </c>
      <c r="I38" s="32">
        <v>1964.46</v>
      </c>
      <c r="J38" s="30">
        <f t="shared" si="0"/>
        <v>304.90326453247735</v>
      </c>
      <c r="K38" s="108"/>
      <c r="N38" s="91">
        <f t="shared" si="2"/>
        <v>62.528520833333324</v>
      </c>
      <c r="O38" s="27">
        <f t="shared" si="3"/>
        <v>2331.8917853658108</v>
      </c>
      <c r="P38" s="85">
        <f t="shared" si="5"/>
        <v>2331.8917853658108</v>
      </c>
      <c r="Q38" s="99"/>
    </row>
    <row r="39" spans="3:17" s="23" customFormat="1" ht="39.75" customHeight="1">
      <c r="C39" s="24" t="s">
        <v>36</v>
      </c>
      <c r="D39" s="44" t="s">
        <v>147</v>
      </c>
      <c r="E39" s="45">
        <v>1886.06</v>
      </c>
      <c r="F39" s="27" t="e">
        <f>E39-#REF!</f>
        <v>#REF!</v>
      </c>
      <c r="G39" s="31">
        <v>4.125</v>
      </c>
      <c r="H39" s="32">
        <f>(G39*H4*H1)/12</f>
        <v>2384.9996092220308</v>
      </c>
      <c r="I39" s="32">
        <v>2064.56</v>
      </c>
      <c r="J39" s="30">
        <f t="shared" si="0"/>
        <v>320.43960922203087</v>
      </c>
      <c r="K39" s="108"/>
      <c r="N39" s="91">
        <f t="shared" si="2"/>
        <v>65.714687499999997</v>
      </c>
      <c r="O39" s="27">
        <f t="shared" si="3"/>
        <v>2450.7142967220307</v>
      </c>
      <c r="P39" s="85">
        <f t="shared" si="5"/>
        <v>2450.7142967220307</v>
      </c>
      <c r="Q39" s="99"/>
    </row>
    <row r="40" spans="3:17" s="50" customFormat="1" ht="39.75" customHeight="1">
      <c r="C40" s="24" t="s">
        <v>37</v>
      </c>
      <c r="D40" s="44" t="s">
        <v>148</v>
      </c>
      <c r="E40" s="47"/>
      <c r="F40" s="48"/>
      <c r="G40" s="49">
        <v>4.9249999999999998</v>
      </c>
      <c r="H40" s="46">
        <f>(G40*H4*H1)/12</f>
        <v>2847.5449879802431</v>
      </c>
      <c r="I40" s="46">
        <v>2464.96</v>
      </c>
      <c r="J40" s="30">
        <f t="shared" si="0"/>
        <v>382.58498798024311</v>
      </c>
      <c r="K40" s="108"/>
      <c r="N40" s="91">
        <f t="shared" si="2"/>
        <v>78.459354166666657</v>
      </c>
      <c r="O40" s="27">
        <f t="shared" si="3"/>
        <v>2926.0043421469099</v>
      </c>
      <c r="P40" s="85">
        <f t="shared" si="5"/>
        <v>2926.0043421469099</v>
      </c>
      <c r="Q40" s="100"/>
    </row>
    <row r="41" spans="3:17" s="50" customFormat="1" ht="32.25" customHeight="1">
      <c r="C41" s="33" t="s">
        <v>38</v>
      </c>
      <c r="D41" s="44" t="s">
        <v>149</v>
      </c>
      <c r="E41" s="47">
        <v>1824.34</v>
      </c>
      <c r="F41" s="48" t="e">
        <f>E41-#REF!</f>
        <v>#REF!</v>
      </c>
      <c r="G41" s="49">
        <v>3.99</v>
      </c>
      <c r="H41" s="46">
        <f>(G41*H4*H1)/12</f>
        <v>2306.945076556583</v>
      </c>
      <c r="I41" s="46">
        <v>1996.99</v>
      </c>
      <c r="J41" s="30">
        <f t="shared" si="0"/>
        <v>309.95507655658298</v>
      </c>
      <c r="K41" s="108"/>
      <c r="N41" s="91">
        <f t="shared" si="2"/>
        <v>63.564024999999994</v>
      </c>
      <c r="O41" s="27">
        <v>2102.23</v>
      </c>
      <c r="P41" s="85">
        <f t="shared" si="5"/>
        <v>2102.23</v>
      </c>
      <c r="Q41" s="100"/>
    </row>
    <row r="42" spans="3:17" s="50" customFormat="1" ht="25.5" customHeight="1">
      <c r="C42" s="33" t="s">
        <v>39</v>
      </c>
      <c r="D42" s="44" t="s">
        <v>150</v>
      </c>
      <c r="E42" s="47">
        <v>1915.78</v>
      </c>
      <c r="F42" s="48" t="e">
        <f>E42-#REF!</f>
        <v>#REF!</v>
      </c>
      <c r="G42" s="49">
        <v>4.165</v>
      </c>
      <c r="H42" s="46">
        <f>(G42*H4*H1)/12</f>
        <v>2408.1268781599415</v>
      </c>
      <c r="I42" s="46">
        <v>2097.09</v>
      </c>
      <c r="J42" s="30">
        <f t="shared" si="0"/>
        <v>311.03687815994135</v>
      </c>
      <c r="K42" s="108"/>
      <c r="N42" s="91">
        <f t="shared" si="2"/>
        <v>66.351920833333324</v>
      </c>
      <c r="O42" s="27">
        <f t="shared" si="3"/>
        <v>2474.4787989932747</v>
      </c>
      <c r="P42" s="85">
        <f t="shared" si="5"/>
        <v>2474.4787989932747</v>
      </c>
      <c r="Q42" s="100"/>
    </row>
    <row r="43" spans="3:17" s="50" customFormat="1" ht="34.5" customHeight="1">
      <c r="C43" s="33" t="s">
        <v>40</v>
      </c>
      <c r="D43" s="44" t="s">
        <v>151</v>
      </c>
      <c r="E43" s="47"/>
      <c r="F43" s="48"/>
      <c r="G43" s="49">
        <v>4.9649999999999999</v>
      </c>
      <c r="H43" s="46">
        <f>(G43*H4*H1)/12</f>
        <v>2870.6722569181534</v>
      </c>
      <c r="I43" s="46">
        <v>2497.4899999999998</v>
      </c>
      <c r="J43" s="30">
        <f t="shared" si="0"/>
        <v>373.1822569181536</v>
      </c>
      <c r="K43" s="108"/>
      <c r="N43" s="91">
        <f t="shared" si="2"/>
        <v>79.096587499999984</v>
      </c>
      <c r="O43" s="27">
        <f t="shared" si="3"/>
        <v>2949.7688444181535</v>
      </c>
      <c r="P43" s="85">
        <f t="shared" si="5"/>
        <v>2949.7688444181535</v>
      </c>
      <c r="Q43" s="100"/>
    </row>
    <row r="44" spans="3:17" s="50" customFormat="1" ht="27" customHeight="1">
      <c r="C44" s="24" t="s">
        <v>41</v>
      </c>
      <c r="D44" s="44" t="s">
        <v>106</v>
      </c>
      <c r="E44" s="47">
        <v>2114.6799999999998</v>
      </c>
      <c r="F44" s="48" t="e">
        <f>E44-#REF!</f>
        <v>#REF!</v>
      </c>
      <c r="G44" s="49">
        <v>4.625</v>
      </c>
      <c r="H44" s="46">
        <f>(G44*H4*H1)/12</f>
        <v>2674.0904709459132</v>
      </c>
      <c r="I44" s="46">
        <v>2314.81</v>
      </c>
      <c r="J44" s="30">
        <f t="shared" si="0"/>
        <v>359.28047094591329</v>
      </c>
      <c r="K44" s="108"/>
      <c r="N44" s="91">
        <f t="shared" si="2"/>
        <v>73.680104166666666</v>
      </c>
      <c r="O44" s="27">
        <f t="shared" si="3"/>
        <v>2747.77057511258</v>
      </c>
      <c r="P44" s="85">
        <f t="shared" si="5"/>
        <v>2747.77057511258</v>
      </c>
      <c r="Q44" s="100"/>
    </row>
    <row r="45" spans="3:17" s="50" customFormat="1" ht="39.75" customHeight="1">
      <c r="C45" s="24" t="s">
        <v>42</v>
      </c>
      <c r="D45" s="44" t="s">
        <v>107</v>
      </c>
      <c r="E45" s="51">
        <v>2206.12</v>
      </c>
      <c r="F45" s="48" t="e">
        <f>E45-#REF!</f>
        <v>#REF!</v>
      </c>
      <c r="G45" s="49">
        <v>4.8250000000000002</v>
      </c>
      <c r="H45" s="46">
        <f>(G45*H4*H1)/12</f>
        <v>2789.7268156354662</v>
      </c>
      <c r="I45" s="46">
        <v>2414.91</v>
      </c>
      <c r="J45" s="30">
        <f t="shared" si="0"/>
        <v>374.81681563546636</v>
      </c>
      <c r="K45" s="108"/>
      <c r="N45" s="91">
        <f t="shared" si="2"/>
        <v>76.866270833333331</v>
      </c>
      <c r="O45" s="27">
        <f t="shared" si="3"/>
        <v>2866.5930864687994</v>
      </c>
      <c r="P45" s="85">
        <f t="shared" si="5"/>
        <v>2866.5930864687994</v>
      </c>
      <c r="Q45" s="100"/>
    </row>
    <row r="46" spans="3:17" s="50" customFormat="1" ht="39.75" customHeight="1">
      <c r="C46" s="24" t="s">
        <v>43</v>
      </c>
      <c r="D46" s="44" t="s">
        <v>108</v>
      </c>
      <c r="E46" s="51"/>
      <c r="F46" s="48"/>
      <c r="G46" s="49">
        <v>5.625</v>
      </c>
      <c r="H46" s="46">
        <f>(G46*H4*H1)/12</f>
        <v>3252.2721943936781</v>
      </c>
      <c r="I46" s="46">
        <v>2815.31</v>
      </c>
      <c r="J46" s="30">
        <f t="shared" si="0"/>
        <v>436.96219439367815</v>
      </c>
      <c r="K46" s="108"/>
      <c r="N46" s="91">
        <f t="shared" si="2"/>
        <v>89.610937499999991</v>
      </c>
      <c r="O46" s="27">
        <f t="shared" si="3"/>
        <v>3341.8831318936782</v>
      </c>
      <c r="P46" s="85">
        <f t="shared" si="5"/>
        <v>3341.8831318936782</v>
      </c>
      <c r="Q46" s="100"/>
    </row>
    <row r="47" spans="3:17" s="50" customFormat="1" ht="15.75">
      <c r="C47" s="33" t="s">
        <v>44</v>
      </c>
      <c r="D47" s="44" t="s">
        <v>152</v>
      </c>
      <c r="E47" s="51">
        <v>2144.4</v>
      </c>
      <c r="F47" s="48" t="e">
        <f>E47-#REF!</f>
        <v>#REF!</v>
      </c>
      <c r="G47" s="49">
        <v>4.6900000000000004</v>
      </c>
      <c r="H47" s="46">
        <f>(G47*H4*H1)/12</f>
        <v>2711.6722829700184</v>
      </c>
      <c r="I47" s="46">
        <v>2347.34</v>
      </c>
      <c r="J47" s="30">
        <f t="shared" si="0"/>
        <v>364.33228297001824</v>
      </c>
      <c r="K47" s="108"/>
      <c r="N47" s="91">
        <f t="shared" si="2"/>
        <v>74.715608333333336</v>
      </c>
      <c r="O47" s="27">
        <f t="shared" si="3"/>
        <v>2786.3878913033518</v>
      </c>
      <c r="P47" s="85">
        <f t="shared" si="5"/>
        <v>2786.3878913033518</v>
      </c>
      <c r="Q47" s="100"/>
    </row>
    <row r="48" spans="3:17" s="50" customFormat="1" ht="15.75">
      <c r="C48" s="33" t="s">
        <v>45</v>
      </c>
      <c r="D48" s="44" t="s">
        <v>153</v>
      </c>
      <c r="E48" s="47">
        <v>2235.84</v>
      </c>
      <c r="F48" s="48" t="e">
        <f>E48-#REF!</f>
        <v>#REF!</v>
      </c>
      <c r="G48" s="49">
        <v>4.8899999999999997</v>
      </c>
      <c r="H48" s="46">
        <f>(G48*H4*H1)/12</f>
        <v>2827.3086276595709</v>
      </c>
      <c r="I48" s="46">
        <v>2447.44</v>
      </c>
      <c r="J48" s="30">
        <f t="shared" si="0"/>
        <v>379.86862765957085</v>
      </c>
      <c r="K48" s="108"/>
      <c r="N48" s="91">
        <f t="shared" si="2"/>
        <v>77.901774999999986</v>
      </c>
      <c r="O48" s="27">
        <f t="shared" si="3"/>
        <v>2905.2104026595707</v>
      </c>
      <c r="P48" s="85">
        <f t="shared" si="5"/>
        <v>2905.2104026595707</v>
      </c>
      <c r="Q48" s="100"/>
    </row>
    <row r="49" spans="3:17" s="50" customFormat="1" ht="30.75">
      <c r="C49" s="33" t="s">
        <v>46</v>
      </c>
      <c r="D49" s="44" t="s">
        <v>154</v>
      </c>
      <c r="E49" s="47"/>
      <c r="F49" s="48"/>
      <c r="G49" s="49">
        <v>5.69</v>
      </c>
      <c r="H49" s="46">
        <f>(G49*H4*H1)/12</f>
        <v>3289.8540064177832</v>
      </c>
      <c r="I49" s="46">
        <v>2847.84</v>
      </c>
      <c r="J49" s="30">
        <f t="shared" si="0"/>
        <v>442.01400641778309</v>
      </c>
      <c r="K49" s="108"/>
      <c r="N49" s="91">
        <f t="shared" si="2"/>
        <v>90.646441666666661</v>
      </c>
      <c r="O49" s="27">
        <f t="shared" si="3"/>
        <v>3380.50044808445</v>
      </c>
      <c r="P49" s="85">
        <f t="shared" si="5"/>
        <v>3380.50044808445</v>
      </c>
      <c r="Q49" s="100"/>
    </row>
    <row r="50" spans="3:17" s="50" customFormat="1" ht="30" customHeight="1">
      <c r="C50" s="24" t="s">
        <v>47</v>
      </c>
      <c r="D50" s="44" t="s">
        <v>155</v>
      </c>
      <c r="E50" s="47">
        <v>4812.32</v>
      </c>
      <c r="F50" s="48" t="e">
        <f>E50-#REF!</f>
        <v>#REF!</v>
      </c>
      <c r="G50" s="49">
        <v>10.525</v>
      </c>
      <c r="H50" s="46">
        <f>(H4*H1*G50)/12</f>
        <v>6085.3626392877277</v>
      </c>
      <c r="I50" s="46">
        <v>5267.76</v>
      </c>
      <c r="J50" s="30">
        <f t="shared" si="0"/>
        <v>817.60263928772747</v>
      </c>
      <c r="K50" s="108"/>
      <c r="N50" s="91">
        <f t="shared" si="2"/>
        <v>167.67202083333333</v>
      </c>
      <c r="O50" s="27">
        <f t="shared" si="3"/>
        <v>6253.0346601210613</v>
      </c>
      <c r="P50" s="85">
        <f t="shared" si="5"/>
        <v>6253.0346601210613</v>
      </c>
      <c r="Q50" s="100"/>
    </row>
    <row r="51" spans="3:17" s="50" customFormat="1" ht="30" customHeight="1">
      <c r="C51" s="24" t="s">
        <v>48</v>
      </c>
      <c r="D51" s="44" t="s">
        <v>156</v>
      </c>
      <c r="E51" s="47">
        <v>4903.7700000000004</v>
      </c>
      <c r="F51" s="48" t="e">
        <f>E51-#REF!</f>
        <v>#REF!</v>
      </c>
      <c r="G51" s="49">
        <v>10.725</v>
      </c>
      <c r="H51" s="46">
        <f>(G51*H4*H1)/12</f>
        <v>6200.9989839772797</v>
      </c>
      <c r="I51" s="46">
        <v>5367.86</v>
      </c>
      <c r="J51" s="30">
        <f t="shared" si="0"/>
        <v>833.13898397728008</v>
      </c>
      <c r="K51" s="108"/>
      <c r="N51" s="91">
        <f t="shared" si="2"/>
        <v>170.85818749999999</v>
      </c>
      <c r="O51" s="27">
        <f t="shared" si="3"/>
        <v>6371.8571714772797</v>
      </c>
      <c r="P51" s="85">
        <f t="shared" si="5"/>
        <v>6371.8571714772797</v>
      </c>
      <c r="Q51" s="100"/>
    </row>
    <row r="52" spans="3:17" s="50" customFormat="1" ht="30" customHeight="1">
      <c r="C52" s="24" t="s">
        <v>49</v>
      </c>
      <c r="D52" s="44" t="s">
        <v>157</v>
      </c>
      <c r="E52" s="47"/>
      <c r="F52" s="48"/>
      <c r="G52" s="49">
        <v>11.525</v>
      </c>
      <c r="H52" s="46">
        <f>(G52*H4*H1)/12</f>
        <v>6663.5443627354916</v>
      </c>
      <c r="I52" s="46">
        <v>5768.26</v>
      </c>
      <c r="J52" s="30">
        <f t="shared" si="0"/>
        <v>895.28436273549141</v>
      </c>
      <c r="K52" s="108"/>
      <c r="N52" s="91">
        <f t="shared" si="2"/>
        <v>183.60285416666667</v>
      </c>
      <c r="O52" s="27">
        <f t="shared" si="3"/>
        <v>6847.1472169021581</v>
      </c>
      <c r="P52" s="85">
        <f t="shared" si="5"/>
        <v>6847.1472169021581</v>
      </c>
      <c r="Q52" s="100"/>
    </row>
    <row r="53" spans="3:17" s="50" customFormat="1" ht="30" customHeight="1">
      <c r="C53" s="33" t="s">
        <v>50</v>
      </c>
      <c r="D53" s="44" t="s">
        <v>158</v>
      </c>
      <c r="E53" s="47">
        <v>4842.04</v>
      </c>
      <c r="F53" s="48" t="e">
        <f>E53-#REF!</f>
        <v>#REF!</v>
      </c>
      <c r="G53" s="49">
        <v>10.59</v>
      </c>
      <c r="H53" s="46">
        <f>(G53*H4*H1)/12</f>
        <v>6122.9444513118324</v>
      </c>
      <c r="I53" s="46">
        <v>5300.29</v>
      </c>
      <c r="J53" s="30">
        <f t="shared" si="0"/>
        <v>822.65445131183242</v>
      </c>
      <c r="K53" s="108"/>
      <c r="N53" s="91">
        <f t="shared" si="2"/>
        <v>168.707525</v>
      </c>
      <c r="O53" s="27">
        <f t="shared" si="3"/>
        <v>6291.6519763118322</v>
      </c>
      <c r="P53" s="85">
        <f t="shared" si="5"/>
        <v>6291.6519763118322</v>
      </c>
      <c r="Q53" s="100"/>
    </row>
    <row r="54" spans="3:17" s="50" customFormat="1" ht="42.75" customHeight="1">
      <c r="C54" s="33" t="s">
        <v>51</v>
      </c>
      <c r="D54" s="44" t="s">
        <v>159</v>
      </c>
      <c r="E54" s="47"/>
      <c r="F54" s="48"/>
      <c r="G54" s="49">
        <v>10.79</v>
      </c>
      <c r="H54" s="46">
        <f>(G54*H4*H1)/12</f>
        <v>6238.5807960013844</v>
      </c>
      <c r="I54" s="46">
        <v>5400.39</v>
      </c>
      <c r="J54" s="30">
        <f t="shared" si="0"/>
        <v>838.19079600138411</v>
      </c>
      <c r="K54" s="108"/>
      <c r="N54" s="91">
        <f t="shared" si="2"/>
        <v>171.89369166666665</v>
      </c>
      <c r="O54" s="27">
        <f t="shared" si="3"/>
        <v>6410.4744876680506</v>
      </c>
      <c r="P54" s="85">
        <f t="shared" si="5"/>
        <v>6410.4744876680506</v>
      </c>
      <c r="Q54" s="100"/>
    </row>
    <row r="55" spans="3:17" s="50" customFormat="1" ht="52.5" customHeight="1">
      <c r="C55" s="33" t="s">
        <v>52</v>
      </c>
      <c r="D55" s="44" t="s">
        <v>160</v>
      </c>
      <c r="E55" s="47"/>
      <c r="F55" s="48"/>
      <c r="G55" s="49">
        <v>11.59</v>
      </c>
      <c r="H55" s="46">
        <f>(H4*H1*G55)/12</f>
        <v>6701.1261747595972</v>
      </c>
      <c r="I55" s="46">
        <v>5800.79</v>
      </c>
      <c r="J55" s="30">
        <f t="shared" si="0"/>
        <v>900.33617475959727</v>
      </c>
      <c r="K55" s="108"/>
      <c r="N55" s="91">
        <f t="shared" si="2"/>
        <v>184.63835833333334</v>
      </c>
      <c r="O55" s="27">
        <f t="shared" si="3"/>
        <v>6885.7645330929308</v>
      </c>
      <c r="P55" s="85">
        <f t="shared" si="5"/>
        <v>6885.7645330929308</v>
      </c>
      <c r="Q55" s="100"/>
    </row>
    <row r="56" spans="3:17" s="23" customFormat="1" ht="15.75">
      <c r="C56" s="34" t="s">
        <v>53</v>
      </c>
      <c r="D56" s="52"/>
      <c r="E56" s="36"/>
      <c r="F56" s="37"/>
      <c r="G56" s="38"/>
      <c r="H56" s="42"/>
      <c r="I56" s="42"/>
      <c r="J56" s="43">
        <f t="shared" si="0"/>
        <v>0</v>
      </c>
      <c r="K56" s="108"/>
      <c r="N56" s="94">
        <f t="shared" si="2"/>
        <v>0</v>
      </c>
      <c r="O56" s="96"/>
      <c r="P56" s="36"/>
      <c r="Q56" s="99"/>
    </row>
    <row r="57" spans="3:17" s="23" customFormat="1" ht="57.75" customHeight="1">
      <c r="C57" s="53" t="s">
        <v>24</v>
      </c>
      <c r="D57" s="54" t="s">
        <v>161</v>
      </c>
      <c r="E57" s="55">
        <v>644.87</v>
      </c>
      <c r="F57" s="27" t="e">
        <f>E57-#REF!</f>
        <v>#REF!</v>
      </c>
      <c r="G57" s="31">
        <f>1.025*1.403</f>
        <v>1.438075</v>
      </c>
      <c r="H57" s="32">
        <f>(H1*H4*G57)/12</f>
        <v>831.46868194714477</v>
      </c>
      <c r="I57" s="32">
        <v>708.98</v>
      </c>
      <c r="J57" s="30">
        <f t="shared" si="0"/>
        <v>122.48868194714476</v>
      </c>
      <c r="K57" s="108"/>
      <c r="N57" s="91">
        <f t="shared" si="2"/>
        <v>22.909733145833332</v>
      </c>
      <c r="O57" s="27">
        <f t="shared" si="3"/>
        <v>854.37841509297812</v>
      </c>
      <c r="P57" s="85">
        <f>SUM(O57+Q57)</f>
        <v>854.37841509297812</v>
      </c>
      <c r="Q57" s="99"/>
    </row>
    <row r="58" spans="3:17" s="23" customFormat="1" ht="46.5" customHeight="1">
      <c r="C58" s="53" t="s">
        <v>28</v>
      </c>
      <c r="D58" s="54" t="s">
        <v>162</v>
      </c>
      <c r="E58" s="55"/>
      <c r="F58" s="27"/>
      <c r="G58" s="31">
        <f>1.225*1.403</f>
        <v>1.7186750000000002</v>
      </c>
      <c r="H58" s="32">
        <f>(G58*H4*H1)/12</f>
        <v>993.70647354658774</v>
      </c>
      <c r="I58" s="32">
        <v>847.32</v>
      </c>
      <c r="J58" s="30">
        <f t="shared" si="0"/>
        <v>146.38647354658769</v>
      </c>
      <c r="K58" s="108"/>
      <c r="N58" s="91">
        <f t="shared" si="2"/>
        <v>27.37992497916667</v>
      </c>
      <c r="O58" s="27">
        <f t="shared" si="3"/>
        <v>1021.0863985257544</v>
      </c>
      <c r="P58" s="85">
        <f t="shared" ref="P58:P78" si="6">SUM(O58+Q58)</f>
        <v>1021.0863985257544</v>
      </c>
      <c r="Q58" s="99"/>
    </row>
    <row r="59" spans="3:17" s="50" customFormat="1" ht="52.5" customHeight="1">
      <c r="C59" s="53" t="s">
        <v>54</v>
      </c>
      <c r="D59" s="54" t="s">
        <v>163</v>
      </c>
      <c r="E59" s="53"/>
      <c r="F59" s="48"/>
      <c r="G59" s="49">
        <f>2.725*1.403</f>
        <v>3.823175</v>
      </c>
      <c r="H59" s="46">
        <f>(G59*H1*H4)/12</f>
        <v>2210.4899105424088</v>
      </c>
      <c r="I59" s="46">
        <v>1884.86</v>
      </c>
      <c r="J59" s="30">
        <f t="shared" si="0"/>
        <v>325.62991054240888</v>
      </c>
      <c r="K59" s="108"/>
      <c r="N59" s="91">
        <f t="shared" si="2"/>
        <v>60.906363729166664</v>
      </c>
      <c r="O59" s="27">
        <f t="shared" si="3"/>
        <v>2271.3962742715753</v>
      </c>
      <c r="P59" s="85">
        <f t="shared" si="6"/>
        <v>2271.3962742715753</v>
      </c>
      <c r="Q59" s="100"/>
    </row>
    <row r="60" spans="3:17" s="50" customFormat="1" ht="46.5" customHeight="1">
      <c r="C60" s="53" t="s">
        <v>55</v>
      </c>
      <c r="D60" s="54" t="s">
        <v>164</v>
      </c>
      <c r="E60" s="53"/>
      <c r="F60" s="48"/>
      <c r="G60" s="49">
        <f>2.79*1.403</f>
        <v>3.9143699999999999</v>
      </c>
      <c r="H60" s="46">
        <f>(G60*H4*H1)/12</f>
        <v>2263.2171928122279</v>
      </c>
      <c r="I60" s="46">
        <v>1929.82</v>
      </c>
      <c r="J60" s="30">
        <f t="shared" si="0"/>
        <v>333.39719281222801</v>
      </c>
      <c r="K60" s="108"/>
      <c r="N60" s="91">
        <f t="shared" si="2"/>
        <v>62.359176074999993</v>
      </c>
      <c r="O60" s="27">
        <f t="shared" si="3"/>
        <v>2325.576368887228</v>
      </c>
      <c r="P60" s="85">
        <f t="shared" si="6"/>
        <v>2325.576368887228</v>
      </c>
      <c r="Q60" s="100"/>
    </row>
    <row r="61" spans="3:17" s="23" customFormat="1" ht="39" customHeight="1">
      <c r="C61" s="53" t="s">
        <v>56</v>
      </c>
      <c r="D61" s="54" t="s">
        <v>165</v>
      </c>
      <c r="E61" s="55">
        <v>685.77</v>
      </c>
      <c r="F61" s="27" t="e">
        <f>E61-#REF!</f>
        <v>#REF!</v>
      </c>
      <c r="G61" s="31">
        <f>1.09*1.403</f>
        <v>1.5292700000000001</v>
      </c>
      <c r="H61" s="46">
        <f>(G61*H4*H1)/12</f>
        <v>884.1959642169636</v>
      </c>
      <c r="I61" s="32">
        <v>753.94</v>
      </c>
      <c r="J61" s="30">
        <f t="shared" si="0"/>
        <v>130.25596421696355</v>
      </c>
      <c r="K61" s="108"/>
      <c r="N61" s="91">
        <f t="shared" si="2"/>
        <v>24.362545491666665</v>
      </c>
      <c r="O61" s="27">
        <f t="shared" si="3"/>
        <v>908.55850970863025</v>
      </c>
      <c r="P61" s="85">
        <f t="shared" si="6"/>
        <v>908.55850970863025</v>
      </c>
      <c r="Q61" s="99"/>
    </row>
    <row r="62" spans="3:17" s="23" customFormat="1" ht="30.75" customHeight="1">
      <c r="C62" s="53" t="s">
        <v>57</v>
      </c>
      <c r="D62" s="54" t="s">
        <v>166</v>
      </c>
      <c r="E62" s="55"/>
      <c r="F62" s="27"/>
      <c r="G62" s="31">
        <f>1.29*1.403</f>
        <v>1.8098700000000001</v>
      </c>
      <c r="H62" s="46">
        <f>(G62*H4*H1)/12</f>
        <v>1046.4337558164066</v>
      </c>
      <c r="I62" s="32">
        <v>892.28</v>
      </c>
      <c r="J62" s="30">
        <f t="shared" si="0"/>
        <v>154.1537558164066</v>
      </c>
      <c r="K62" s="108"/>
      <c r="N62" s="91">
        <f t="shared" si="2"/>
        <v>28.832737325</v>
      </c>
      <c r="O62" s="27">
        <f t="shared" si="3"/>
        <v>1075.2664931414065</v>
      </c>
      <c r="P62" s="85">
        <f t="shared" si="6"/>
        <v>1075.2664931414065</v>
      </c>
      <c r="Q62" s="99"/>
    </row>
    <row r="63" spans="3:17" s="23" customFormat="1" ht="45.75" customHeight="1">
      <c r="C63" s="24" t="s">
        <v>31</v>
      </c>
      <c r="D63" s="84" t="s">
        <v>167</v>
      </c>
      <c r="E63" s="56">
        <v>1525.68</v>
      </c>
      <c r="F63" s="27" t="e">
        <f>E63-#REF!</f>
        <v>#REF!</v>
      </c>
      <c r="G63" s="31">
        <f>2.425*1.403</f>
        <v>3.4022749999999999</v>
      </c>
      <c r="H63" s="32">
        <f>(G63*H4*H1)/12</f>
        <v>1967.133223143245</v>
      </c>
      <c r="I63" s="32">
        <v>1677.35</v>
      </c>
      <c r="J63" s="30">
        <f t="shared" si="0"/>
        <v>289.7832231432451</v>
      </c>
      <c r="K63" s="108"/>
      <c r="N63" s="91">
        <f t="shared" si="2"/>
        <v>54.20107597916666</v>
      </c>
      <c r="O63" s="27">
        <f t="shared" si="3"/>
        <v>2021.3342991224117</v>
      </c>
      <c r="P63" s="85">
        <f t="shared" si="6"/>
        <v>2021.3342991224117</v>
      </c>
      <c r="Q63" s="99"/>
    </row>
    <row r="64" spans="3:17" s="23" customFormat="1" ht="45.75" customHeight="1">
      <c r="C64" s="24" t="s">
        <v>58</v>
      </c>
      <c r="D64" s="84" t="s">
        <v>168</v>
      </c>
      <c r="E64" s="56"/>
      <c r="F64" s="27"/>
      <c r="G64" s="31">
        <f>2.625*1.403</f>
        <v>3.6828750000000001</v>
      </c>
      <c r="H64" s="32">
        <f>(G64*H4*H1)/12</f>
        <v>2129.3710147426877</v>
      </c>
      <c r="I64" s="32">
        <v>1815.69</v>
      </c>
      <c r="J64" s="30">
        <f t="shared" si="0"/>
        <v>313.68101474268769</v>
      </c>
      <c r="K64" s="108"/>
      <c r="N64" s="91">
        <f t="shared" si="2"/>
        <v>58.671267812499998</v>
      </c>
      <c r="O64" s="27">
        <f t="shared" si="3"/>
        <v>2188.0422825551877</v>
      </c>
      <c r="P64" s="85">
        <f t="shared" si="6"/>
        <v>2188.0422825551877</v>
      </c>
      <c r="Q64" s="99"/>
    </row>
    <row r="65" spans="3:17" s="23" customFormat="1" ht="45.75" customHeight="1">
      <c r="C65" s="33" t="s">
        <v>59</v>
      </c>
      <c r="D65" s="44" t="s">
        <v>169</v>
      </c>
      <c r="E65" s="26">
        <v>1566.5719999999999</v>
      </c>
      <c r="F65" s="27" t="e">
        <f>E65-#REF!</f>
        <v>#REF!</v>
      </c>
      <c r="G65" s="31">
        <f>2.49*1.403</f>
        <v>3.4934700000000003</v>
      </c>
      <c r="H65" s="32">
        <f>(G65*H4*H1)/12</f>
        <v>2019.8605054130639</v>
      </c>
      <c r="I65" s="32">
        <v>1722.31</v>
      </c>
      <c r="J65" s="30">
        <f t="shared" si="0"/>
        <v>297.550505413064</v>
      </c>
      <c r="K65" s="108"/>
      <c r="N65" s="91">
        <f t="shared" si="2"/>
        <v>55.653888324999997</v>
      </c>
      <c r="O65" s="27">
        <f t="shared" si="3"/>
        <v>2075.514393738064</v>
      </c>
      <c r="P65" s="85">
        <f t="shared" si="6"/>
        <v>2075.514393738064</v>
      </c>
      <c r="Q65" s="99"/>
    </row>
    <row r="66" spans="3:17" s="23" customFormat="1" ht="45.75" customHeight="1">
      <c r="C66" s="33" t="s">
        <v>60</v>
      </c>
      <c r="D66" s="44" t="s">
        <v>170</v>
      </c>
      <c r="E66" s="26"/>
      <c r="F66" s="27"/>
      <c r="G66" s="31">
        <f>2.69*1.403</f>
        <v>3.77407</v>
      </c>
      <c r="H66" s="32">
        <f>(G66*H4*H1)/12</f>
        <v>2182.0982970125065</v>
      </c>
      <c r="I66" s="32">
        <v>1860.65</v>
      </c>
      <c r="J66" s="30">
        <f t="shared" si="0"/>
        <v>321.44829701250637</v>
      </c>
      <c r="K66" s="108"/>
      <c r="N66" s="91">
        <f t="shared" si="2"/>
        <v>60.124080158333328</v>
      </c>
      <c r="O66" s="27">
        <f t="shared" si="3"/>
        <v>2242.22237717084</v>
      </c>
      <c r="P66" s="85">
        <f t="shared" si="6"/>
        <v>2242.22237717084</v>
      </c>
      <c r="Q66" s="99"/>
    </row>
    <row r="67" spans="3:17" s="23" customFormat="1" ht="30" customHeight="1">
      <c r="C67" s="24" t="s">
        <v>35</v>
      </c>
      <c r="D67" s="44" t="s">
        <v>171</v>
      </c>
      <c r="E67" s="26">
        <v>2469.4</v>
      </c>
      <c r="F67" s="27" t="e">
        <f>E67-#REF!</f>
        <v>#REF!</v>
      </c>
      <c r="G67" s="31">
        <f>3.925*1.403</f>
        <v>5.5067750000000002</v>
      </c>
      <c r="H67" s="32">
        <f>(G67*H4*H1)/12</f>
        <v>3183.9166601390666</v>
      </c>
      <c r="I67" s="32">
        <v>2714.88</v>
      </c>
      <c r="J67" s="30">
        <f t="shared" si="0"/>
        <v>469.0366601390665</v>
      </c>
      <c r="K67" s="108"/>
      <c r="N67" s="91">
        <f t="shared" si="2"/>
        <v>87.727514729166671</v>
      </c>
      <c r="O67" s="27">
        <f t="shared" si="3"/>
        <v>3271.6441748682332</v>
      </c>
      <c r="P67" s="85">
        <f t="shared" si="6"/>
        <v>3271.6441748682332</v>
      </c>
      <c r="Q67" s="99"/>
    </row>
    <row r="68" spans="3:17" s="23" customFormat="1" ht="38.25" customHeight="1">
      <c r="C68" s="24" t="s">
        <v>61</v>
      </c>
      <c r="D68" s="44" t="s">
        <v>172</v>
      </c>
      <c r="E68" s="26"/>
      <c r="F68" s="27"/>
      <c r="G68" s="31">
        <f>4.125*1.403</f>
        <v>5.7873749999999999</v>
      </c>
      <c r="H68" s="32">
        <f>(G68*H4*H1)/12</f>
        <v>3346.1544517385087</v>
      </c>
      <c r="I68" s="32">
        <v>2853.22</v>
      </c>
      <c r="J68" s="30">
        <f t="shared" si="0"/>
        <v>492.93445173850887</v>
      </c>
      <c r="K68" s="108"/>
      <c r="N68" s="91">
        <f t="shared" si="2"/>
        <v>92.197706562500002</v>
      </c>
      <c r="O68" s="27">
        <f t="shared" si="3"/>
        <v>3438.3521583010088</v>
      </c>
      <c r="P68" s="85">
        <f t="shared" si="6"/>
        <v>3438.3521583010088</v>
      </c>
      <c r="Q68" s="99"/>
    </row>
    <row r="69" spans="3:17" s="23" customFormat="1" ht="15.75">
      <c r="C69" s="33" t="s">
        <v>38</v>
      </c>
      <c r="D69" s="44" t="s">
        <v>173</v>
      </c>
      <c r="E69" s="26">
        <v>2510.29</v>
      </c>
      <c r="F69" s="27" t="e">
        <f>E69-#REF!</f>
        <v>#REF!</v>
      </c>
      <c r="G69" s="31">
        <f>3.99*1.403</f>
        <v>5.5979700000000001</v>
      </c>
      <c r="H69" s="32">
        <f>(G69*H4*H1)/12</f>
        <v>3236.6439424088853</v>
      </c>
      <c r="I69" s="32">
        <v>2773.68</v>
      </c>
      <c r="J69" s="30">
        <f t="shared" si="0"/>
        <v>462.96394240888549</v>
      </c>
      <c r="K69" s="108"/>
      <c r="N69" s="91">
        <f t="shared" si="2"/>
        <v>89.180327074999994</v>
      </c>
      <c r="O69" s="27">
        <f t="shared" si="3"/>
        <v>3325.8242694838855</v>
      </c>
      <c r="P69" s="85">
        <f t="shared" si="6"/>
        <v>3325.8242694838855</v>
      </c>
      <c r="Q69" s="99"/>
    </row>
    <row r="70" spans="3:17" s="23" customFormat="1" ht="32.25" customHeight="1">
      <c r="C70" s="33" t="s">
        <v>62</v>
      </c>
      <c r="D70" s="44" t="s">
        <v>174</v>
      </c>
      <c r="E70" s="26"/>
      <c r="F70" s="27"/>
      <c r="G70" s="31">
        <f>4.19*1.403</f>
        <v>5.8785700000000007</v>
      </c>
      <c r="H70" s="32">
        <f>(G70*H4*H1)/12</f>
        <v>3398.8817340083292</v>
      </c>
      <c r="I70" s="32">
        <v>2898.18</v>
      </c>
      <c r="J70" s="30">
        <f t="shared" si="0"/>
        <v>500.70173400832937</v>
      </c>
      <c r="K70" s="108"/>
      <c r="N70" s="91">
        <f t="shared" si="2"/>
        <v>93.650518908333325</v>
      </c>
      <c r="O70" s="27">
        <f t="shared" si="3"/>
        <v>3492.5322529166624</v>
      </c>
      <c r="P70" s="85">
        <f t="shared" si="6"/>
        <v>3492.5322529166624</v>
      </c>
      <c r="Q70" s="99"/>
    </row>
    <row r="71" spans="3:17" s="23" customFormat="1" ht="25.5" customHeight="1">
      <c r="C71" s="24" t="s">
        <v>41</v>
      </c>
      <c r="D71" s="44" t="s">
        <v>175</v>
      </c>
      <c r="E71" s="26">
        <v>2909.8</v>
      </c>
      <c r="F71" s="27" t="e">
        <f>E71-#REF!</f>
        <v>#REF!</v>
      </c>
      <c r="G71" s="31">
        <f>4.625*1.403</f>
        <v>6.4888750000000002</v>
      </c>
      <c r="H71" s="32">
        <f>(G71*H4*H1)/12</f>
        <v>3751.7489307371166</v>
      </c>
      <c r="I71" s="32">
        <v>3199.07</v>
      </c>
      <c r="J71" s="30">
        <f t="shared" si="0"/>
        <v>552.67893073711639</v>
      </c>
      <c r="K71" s="108"/>
      <c r="N71" s="91">
        <f t="shared" si="2"/>
        <v>103.37318614583332</v>
      </c>
      <c r="O71" s="27">
        <f t="shared" si="3"/>
        <v>3855.1221168829497</v>
      </c>
      <c r="P71" s="85">
        <f t="shared" si="6"/>
        <v>3855.1221168829497</v>
      </c>
      <c r="Q71" s="99"/>
    </row>
    <row r="72" spans="3:17" s="23" customFormat="1" ht="30" customHeight="1">
      <c r="C72" s="24" t="s">
        <v>42</v>
      </c>
      <c r="D72" s="44" t="s">
        <v>176</v>
      </c>
      <c r="E72" s="26"/>
      <c r="F72" s="27"/>
      <c r="G72" s="31">
        <f>4.825*1.403</f>
        <v>6.7694750000000008</v>
      </c>
      <c r="H72" s="32">
        <f>(G72*H4*H1)/12</f>
        <v>3913.9867223365595</v>
      </c>
      <c r="I72" s="32">
        <v>3337.41</v>
      </c>
      <c r="J72" s="30">
        <f t="shared" ref="J72:J140" si="7">H72-I72</f>
        <v>576.57672233655967</v>
      </c>
      <c r="K72" s="108"/>
      <c r="N72" s="91">
        <f t="shared" si="2"/>
        <v>107.84337797916668</v>
      </c>
      <c r="O72" s="27">
        <f t="shared" si="3"/>
        <v>4021.8301003157262</v>
      </c>
      <c r="P72" s="85">
        <f t="shared" si="6"/>
        <v>4021.8301003157262</v>
      </c>
      <c r="Q72" s="99"/>
    </row>
    <row r="73" spans="3:17" s="23" customFormat="1" ht="30.75" customHeight="1">
      <c r="C73" s="33" t="s">
        <v>44</v>
      </c>
      <c r="D73" s="44" t="s">
        <v>177</v>
      </c>
      <c r="E73" s="26">
        <v>2950.69</v>
      </c>
      <c r="F73" s="27" t="e">
        <f>E73-#REF!</f>
        <v>#REF!</v>
      </c>
      <c r="G73" s="31">
        <f>4.69*1.403</f>
        <v>6.580070000000001</v>
      </c>
      <c r="H73" s="32">
        <f>(G73*H4*H1)/12</f>
        <v>3804.4762130069362</v>
      </c>
      <c r="I73" s="32">
        <v>3244.03</v>
      </c>
      <c r="J73" s="30">
        <f t="shared" si="7"/>
        <v>560.44621300693598</v>
      </c>
      <c r="K73" s="108"/>
      <c r="N73" s="91">
        <f t="shared" si="2"/>
        <v>104.82599849166667</v>
      </c>
      <c r="O73" s="27">
        <f t="shared" si="3"/>
        <v>3909.3022114986029</v>
      </c>
      <c r="P73" s="85">
        <f t="shared" si="6"/>
        <v>3909.3022114986029</v>
      </c>
      <c r="Q73" s="99"/>
    </row>
    <row r="74" spans="3:17" s="23" customFormat="1" ht="30.75" customHeight="1">
      <c r="C74" s="33" t="s">
        <v>63</v>
      </c>
      <c r="D74" s="44" t="s">
        <v>178</v>
      </c>
      <c r="E74" s="26"/>
      <c r="F74" s="27"/>
      <c r="G74" s="31">
        <f>4.89*1.403</f>
        <v>6.8606699999999998</v>
      </c>
      <c r="H74" s="32">
        <f>(G74*H4*H1)/12</f>
        <v>3966.7140046063782</v>
      </c>
      <c r="I74" s="32">
        <v>3382.37</v>
      </c>
      <c r="J74" s="30">
        <f t="shared" si="7"/>
        <v>584.34400460637835</v>
      </c>
      <c r="K74" s="108"/>
      <c r="N74" s="91">
        <f t="shared" si="2"/>
        <v>109.296190325</v>
      </c>
      <c r="O74" s="27">
        <f t="shared" si="3"/>
        <v>4076.0101949313785</v>
      </c>
      <c r="P74" s="85">
        <f t="shared" si="6"/>
        <v>4076.0101949313785</v>
      </c>
      <c r="Q74" s="99"/>
    </row>
    <row r="75" spans="3:17" s="23" customFormat="1" ht="45" customHeight="1">
      <c r="C75" s="24" t="s">
        <v>47</v>
      </c>
      <c r="D75" s="44" t="s">
        <v>179</v>
      </c>
      <c r="E75" s="26">
        <v>6621.76</v>
      </c>
      <c r="F75" s="27" t="e">
        <f>E75-#REF!</f>
        <v>#REF!</v>
      </c>
      <c r="G75" s="31">
        <f>10.525*1.403</f>
        <v>14.766575000000001</v>
      </c>
      <c r="H75" s="32">
        <f>(G75*H4*H1)/12</f>
        <v>8537.7637829206815</v>
      </c>
      <c r="I75" s="32">
        <v>7280.04</v>
      </c>
      <c r="J75" s="30">
        <f t="shared" si="7"/>
        <v>1257.7237829206815</v>
      </c>
      <c r="K75" s="108"/>
      <c r="N75" s="91">
        <f t="shared" ref="N75:N78" si="8">G75*$N$3/12</f>
        <v>235.24384522916668</v>
      </c>
      <c r="O75" s="27">
        <f t="shared" ref="O75:O78" si="9">H75+N75</f>
        <v>8773.0076281498477</v>
      </c>
      <c r="P75" s="85">
        <f t="shared" si="6"/>
        <v>8773.0076281498477</v>
      </c>
      <c r="Q75" s="99"/>
    </row>
    <row r="76" spans="3:17" s="23" customFormat="1" ht="45" customHeight="1">
      <c r="C76" s="24" t="s">
        <v>48</v>
      </c>
      <c r="D76" s="44" t="s">
        <v>180</v>
      </c>
      <c r="E76" s="26"/>
      <c r="F76" s="27"/>
      <c r="G76" s="31">
        <f>10.725*1.403</f>
        <v>15.047174999999999</v>
      </c>
      <c r="H76" s="32">
        <f>(G76*H4*H1)/12</f>
        <v>8700.0015745201254</v>
      </c>
      <c r="I76" s="32">
        <v>7418.38</v>
      </c>
      <c r="J76" s="30">
        <f t="shared" si="7"/>
        <v>1281.6215745201253</v>
      </c>
      <c r="K76" s="108"/>
      <c r="N76" s="91">
        <f t="shared" si="8"/>
        <v>239.71403706249998</v>
      </c>
      <c r="O76" s="27">
        <f t="shared" si="9"/>
        <v>8939.7156115826256</v>
      </c>
      <c r="P76" s="85">
        <f t="shared" si="6"/>
        <v>8939.7156115826256</v>
      </c>
      <c r="Q76" s="99"/>
    </row>
    <row r="77" spans="3:17" s="23" customFormat="1" ht="47.25" customHeight="1">
      <c r="C77" s="33" t="s">
        <v>50</v>
      </c>
      <c r="D77" s="44" t="s">
        <v>181</v>
      </c>
      <c r="E77" s="26">
        <v>6662.65</v>
      </c>
      <c r="F77" s="27" t="e">
        <f>E77-#REF!</f>
        <v>#REF!</v>
      </c>
      <c r="G77" s="31">
        <f>10.59*1.403</f>
        <v>14.85777</v>
      </c>
      <c r="H77" s="32">
        <f>(G77*H4*H1)/12</f>
        <v>8590.4910651905011</v>
      </c>
      <c r="I77" s="32">
        <v>7325</v>
      </c>
      <c r="J77" s="30">
        <f t="shared" si="7"/>
        <v>1265.4910651905011</v>
      </c>
      <c r="K77" s="108"/>
      <c r="N77" s="91">
        <f t="shared" si="8"/>
        <v>236.69665757499999</v>
      </c>
      <c r="O77" s="27">
        <f t="shared" si="9"/>
        <v>8827.1877227655004</v>
      </c>
      <c r="P77" s="85">
        <f t="shared" si="6"/>
        <v>8827.1877227655004</v>
      </c>
      <c r="Q77" s="99"/>
    </row>
    <row r="78" spans="3:17" s="23" customFormat="1" ht="42.75" customHeight="1">
      <c r="C78" s="33" t="s">
        <v>51</v>
      </c>
      <c r="D78" s="44" t="s">
        <v>182</v>
      </c>
      <c r="E78" s="26"/>
      <c r="F78" s="27"/>
      <c r="G78" s="31">
        <f>10.79*1.403</f>
        <v>15.138369999999998</v>
      </c>
      <c r="H78" s="32">
        <f>(G78*H4*H1)/12</f>
        <v>8752.7288567899413</v>
      </c>
      <c r="I78" s="32">
        <v>7463.34</v>
      </c>
      <c r="J78" s="30">
        <f t="shared" si="7"/>
        <v>1289.3888567899412</v>
      </c>
      <c r="K78" s="108"/>
      <c r="N78" s="91">
        <f t="shared" si="8"/>
        <v>241.16684940833329</v>
      </c>
      <c r="O78" s="27">
        <f t="shared" si="9"/>
        <v>8993.8957061982746</v>
      </c>
      <c r="P78" s="85">
        <f t="shared" si="6"/>
        <v>8993.8957061982746</v>
      </c>
      <c r="Q78" s="99"/>
    </row>
    <row r="79" spans="3:17" s="23" customFormat="1" ht="15.75">
      <c r="C79" s="34" t="s">
        <v>64</v>
      </c>
      <c r="D79" s="35"/>
      <c r="E79" s="36"/>
      <c r="F79" s="37"/>
      <c r="G79" s="38"/>
      <c r="H79" s="42"/>
      <c r="I79" s="42"/>
      <c r="J79" s="43">
        <f t="shared" si="7"/>
        <v>0</v>
      </c>
      <c r="K79" s="108"/>
      <c r="N79" s="94">
        <v>192.32</v>
      </c>
      <c r="O79" s="37"/>
      <c r="P79" s="64"/>
      <c r="Q79" s="99"/>
    </row>
    <row r="80" spans="3:17" s="23" customFormat="1" ht="15.75">
      <c r="C80" s="33" t="s">
        <v>24</v>
      </c>
      <c r="D80" s="44" t="s">
        <v>183</v>
      </c>
      <c r="E80" s="45">
        <v>520.84</v>
      </c>
      <c r="F80" s="27" t="e">
        <f>E80-#REF!</f>
        <v>#REF!</v>
      </c>
      <c r="G80" s="31">
        <v>1.1319999999999999</v>
      </c>
      <c r="H80" s="32">
        <f>(G80*H4*H2)/12</f>
        <v>658.63220288305172</v>
      </c>
      <c r="I80" s="32">
        <v>569.08000000000004</v>
      </c>
      <c r="J80" s="30">
        <f t="shared" si="7"/>
        <v>89.552202883051677</v>
      </c>
      <c r="K80" s="108"/>
      <c r="N80" s="91">
        <f>G80*$N$79/12</f>
        <v>18.142186666666664</v>
      </c>
      <c r="O80" s="27">
        <f>H80+N80</f>
        <v>676.77438954971842</v>
      </c>
      <c r="P80" s="85">
        <f>SUM(O80+Q80)</f>
        <v>676.77438954971842</v>
      </c>
      <c r="Q80" s="99"/>
    </row>
    <row r="81" spans="3:17" s="23" customFormat="1" ht="38.25" customHeight="1">
      <c r="C81" s="33" t="s">
        <v>111</v>
      </c>
      <c r="D81" s="44" t="s">
        <v>184</v>
      </c>
      <c r="E81" s="45"/>
      <c r="F81" s="27"/>
      <c r="G81" s="31">
        <f>1.132+0.33</f>
        <v>1.462</v>
      </c>
      <c r="H81" s="32">
        <f>(G81*H4*H2)/12</f>
        <v>850.63629029595552</v>
      </c>
      <c r="I81" s="32"/>
      <c r="J81" s="30"/>
      <c r="K81" s="108"/>
      <c r="N81" s="91">
        <f t="shared" ref="N81:N139" si="10">G81*$N$79/12</f>
        <v>23.430986666666666</v>
      </c>
      <c r="O81" s="27">
        <f t="shared" ref="O81:O140" si="11">H81+N81</f>
        <v>874.06727696262215</v>
      </c>
      <c r="P81" s="85">
        <f t="shared" ref="P81:P104" si="12">SUM(O81+Q81)</f>
        <v>874.06727696262215</v>
      </c>
      <c r="Q81" s="99"/>
    </row>
    <row r="82" spans="3:17" s="50" customFormat="1" ht="52.5" customHeight="1">
      <c r="C82" s="24" t="s">
        <v>31</v>
      </c>
      <c r="D82" s="44" t="s">
        <v>109</v>
      </c>
      <c r="E82" s="47">
        <v>1164.98</v>
      </c>
      <c r="F82" s="48" t="e">
        <f>E82-#REF!</f>
        <v>#REF!</v>
      </c>
      <c r="G82" s="49">
        <v>2.532</v>
      </c>
      <c r="H82" s="46">
        <f>(G82*H4*H2)/12</f>
        <v>1473.1949979680983</v>
      </c>
      <c r="I82" s="46">
        <v>1272.8900000000001</v>
      </c>
      <c r="J82" s="30">
        <f t="shared" si="7"/>
        <v>200.30499796809818</v>
      </c>
      <c r="K82" s="108"/>
      <c r="N82" s="91">
        <f t="shared" si="10"/>
        <v>40.579519999999995</v>
      </c>
      <c r="O82" s="27">
        <f t="shared" si="11"/>
        <v>1513.7745179680983</v>
      </c>
      <c r="P82" s="85">
        <f t="shared" si="12"/>
        <v>1513.7745179680983</v>
      </c>
      <c r="Q82" s="100"/>
    </row>
    <row r="83" spans="3:17" s="50" customFormat="1" ht="52.5" customHeight="1">
      <c r="C83" s="24" t="s">
        <v>112</v>
      </c>
      <c r="D83" s="44" t="s">
        <v>185</v>
      </c>
      <c r="E83" s="47"/>
      <c r="F83" s="48"/>
      <c r="G83" s="49">
        <f>2.532+0.33</f>
        <v>2.8620000000000001</v>
      </c>
      <c r="H83" s="46">
        <f>(G83*H4*H2)/12</f>
        <v>1665.1990853810019</v>
      </c>
      <c r="I83" s="46"/>
      <c r="J83" s="30"/>
      <c r="K83" s="108"/>
      <c r="N83" s="91">
        <f t="shared" si="10"/>
        <v>45.868320000000004</v>
      </c>
      <c r="O83" s="27">
        <f t="shared" si="11"/>
        <v>1711.0674053810019</v>
      </c>
      <c r="P83" s="85">
        <f t="shared" si="12"/>
        <v>1711.0674053810019</v>
      </c>
      <c r="Q83" s="100"/>
    </row>
    <row r="84" spans="3:17" s="50" customFormat="1" ht="52.5" customHeight="1">
      <c r="C84" s="24" t="s">
        <v>65</v>
      </c>
      <c r="D84" s="44" t="s">
        <v>110</v>
      </c>
      <c r="E84" s="47"/>
      <c r="F84" s="48"/>
      <c r="G84" s="49">
        <v>3.3319999999999999</v>
      </c>
      <c r="H84" s="46">
        <f>(G84*H4*H2)/12</f>
        <v>1938.6594523024103</v>
      </c>
      <c r="I84" s="46">
        <v>1675.07</v>
      </c>
      <c r="J84" s="30">
        <f t="shared" si="7"/>
        <v>263.58945230241034</v>
      </c>
      <c r="K84" s="108"/>
      <c r="N84" s="91">
        <f t="shared" si="10"/>
        <v>53.400853333333323</v>
      </c>
      <c r="O84" s="27">
        <f t="shared" si="11"/>
        <v>1992.0603056357436</v>
      </c>
      <c r="P84" s="85">
        <f t="shared" si="12"/>
        <v>1992.0603056357436</v>
      </c>
      <c r="Q84" s="100"/>
    </row>
    <row r="85" spans="3:17" s="50" customFormat="1" ht="52.5" customHeight="1">
      <c r="C85" s="24" t="s">
        <v>113</v>
      </c>
      <c r="D85" s="44" t="s">
        <v>186</v>
      </c>
      <c r="E85" s="47"/>
      <c r="F85" s="48"/>
      <c r="G85" s="49">
        <f>3.332+0.33</f>
        <v>3.6619999999999999</v>
      </c>
      <c r="H85" s="46">
        <f>(G85*H4*H2)/12</f>
        <v>2130.6635397153136</v>
      </c>
      <c r="I85" s="46"/>
      <c r="J85" s="30"/>
      <c r="K85" s="108"/>
      <c r="N85" s="91">
        <f t="shared" si="10"/>
        <v>58.689653333333332</v>
      </c>
      <c r="O85" s="27">
        <f t="shared" si="11"/>
        <v>2189.353193048647</v>
      </c>
      <c r="P85" s="85">
        <f t="shared" si="12"/>
        <v>2189.353193048647</v>
      </c>
      <c r="Q85" s="100"/>
    </row>
    <row r="86" spans="3:17" s="50" customFormat="1" ht="35.25" customHeight="1">
      <c r="C86" s="24" t="s">
        <v>35</v>
      </c>
      <c r="D86" s="44" t="s">
        <v>187</v>
      </c>
      <c r="E86" s="47">
        <v>1855.13</v>
      </c>
      <c r="F86" s="48" t="e">
        <f>E86-#REF!</f>
        <v>#REF!</v>
      </c>
      <c r="G86" s="49">
        <v>4.032</v>
      </c>
      <c r="H86" s="46">
        <f>(G86*H4*H2)/12</f>
        <v>2345.9408498449334</v>
      </c>
      <c r="I86" s="46">
        <v>2026.98</v>
      </c>
      <c r="J86" s="30">
        <f t="shared" si="7"/>
        <v>318.96084984493336</v>
      </c>
      <c r="K86" s="108"/>
      <c r="N86" s="91">
        <f t="shared" si="10"/>
        <v>64.619519999999994</v>
      </c>
      <c r="O86" s="27">
        <f t="shared" si="11"/>
        <v>2410.5603698449336</v>
      </c>
      <c r="P86" s="85">
        <f t="shared" si="12"/>
        <v>2410.5603698449336</v>
      </c>
      <c r="Q86" s="100"/>
    </row>
    <row r="87" spans="3:17" s="50" customFormat="1" ht="35.25" customHeight="1">
      <c r="C87" s="24" t="s">
        <v>114</v>
      </c>
      <c r="D87" s="44" t="s">
        <v>188</v>
      </c>
      <c r="E87" s="47"/>
      <c r="F87" s="48"/>
      <c r="G87" s="49">
        <f>4.032+0.33</f>
        <v>4.3620000000000001</v>
      </c>
      <c r="H87" s="46">
        <f>(G87*H4*H2)/12</f>
        <v>2537.944937257837</v>
      </c>
      <c r="I87" s="46"/>
      <c r="J87" s="30"/>
      <c r="K87" s="108"/>
      <c r="N87" s="91">
        <f t="shared" si="10"/>
        <v>69.908320000000003</v>
      </c>
      <c r="O87" s="27">
        <f t="shared" si="11"/>
        <v>2607.853257257837</v>
      </c>
      <c r="P87" s="85">
        <f t="shared" si="12"/>
        <v>2607.853257257837</v>
      </c>
      <c r="Q87" s="100"/>
    </row>
    <row r="88" spans="3:17" s="50" customFormat="1" ht="35.25" customHeight="1">
      <c r="C88" s="24" t="s">
        <v>66</v>
      </c>
      <c r="D88" s="44" t="s">
        <v>189</v>
      </c>
      <c r="E88" s="47"/>
      <c r="F88" s="48"/>
      <c r="G88" s="49">
        <v>4.8319999999999999</v>
      </c>
      <c r="H88" s="46">
        <f>(G88*H4*H2)/12</f>
        <v>2811.4053041792454</v>
      </c>
      <c r="I88" s="46">
        <v>2429.15</v>
      </c>
      <c r="J88" s="30">
        <f t="shared" si="7"/>
        <v>382.25530417924529</v>
      </c>
      <c r="K88" s="108"/>
      <c r="N88" s="91">
        <f t="shared" si="10"/>
        <v>77.440853333333322</v>
      </c>
      <c r="O88" s="27">
        <f t="shared" si="11"/>
        <v>2888.8461575125789</v>
      </c>
      <c r="P88" s="85">
        <f t="shared" si="12"/>
        <v>2888.8461575125789</v>
      </c>
      <c r="Q88" s="100"/>
    </row>
    <row r="89" spans="3:17" s="50" customFormat="1" ht="35.25" customHeight="1">
      <c r="C89" s="24" t="s">
        <v>115</v>
      </c>
      <c r="D89" s="44" t="s">
        <v>190</v>
      </c>
      <c r="E89" s="47"/>
      <c r="F89" s="48"/>
      <c r="G89" s="49">
        <f>4.832+0.33</f>
        <v>5.1619999999999999</v>
      </c>
      <c r="H89" s="46">
        <f>(G89*H4*H2)/12</f>
        <v>3003.4093915921494</v>
      </c>
      <c r="I89" s="46"/>
      <c r="J89" s="30"/>
      <c r="K89" s="108"/>
      <c r="N89" s="91">
        <f t="shared" si="10"/>
        <v>82.729653333333331</v>
      </c>
      <c r="O89" s="27">
        <f t="shared" si="11"/>
        <v>3086.1390449254827</v>
      </c>
      <c r="P89" s="85">
        <f t="shared" si="12"/>
        <v>3086.1390449254827</v>
      </c>
      <c r="Q89" s="100"/>
    </row>
    <row r="90" spans="3:17" s="50" customFormat="1" ht="15.75">
      <c r="C90" s="24" t="s">
        <v>41</v>
      </c>
      <c r="D90" s="44" t="s">
        <v>191</v>
      </c>
      <c r="E90" s="47">
        <v>2177.21</v>
      </c>
      <c r="F90" s="48" t="e">
        <f>E90-#REF!</f>
        <v>#REF!</v>
      </c>
      <c r="G90" s="49">
        <v>4.7320000000000002</v>
      </c>
      <c r="H90" s="46">
        <f>(G90*H4*H2)/12</f>
        <v>2753.2222473874567</v>
      </c>
      <c r="I90" s="46">
        <v>2378.88</v>
      </c>
      <c r="J90" s="30">
        <f t="shared" si="7"/>
        <v>374.34224738745661</v>
      </c>
      <c r="K90" s="108"/>
      <c r="N90" s="91">
        <f t="shared" si="10"/>
        <v>75.838186666666658</v>
      </c>
      <c r="O90" s="27">
        <f t="shared" si="11"/>
        <v>2829.0604340541236</v>
      </c>
      <c r="P90" s="85">
        <f t="shared" si="12"/>
        <v>2829.0604340541236</v>
      </c>
      <c r="Q90" s="100"/>
    </row>
    <row r="91" spans="3:17" s="50" customFormat="1" ht="30">
      <c r="C91" s="24" t="s">
        <v>116</v>
      </c>
      <c r="D91" s="44" t="s">
        <v>192</v>
      </c>
      <c r="E91" s="47"/>
      <c r="F91" s="48"/>
      <c r="G91" s="49">
        <f>4.732+0.33</f>
        <v>5.0620000000000003</v>
      </c>
      <c r="H91" s="46">
        <f>(G91*H4*H2)/12</f>
        <v>2945.2263348003603</v>
      </c>
      <c r="I91" s="46"/>
      <c r="J91" s="30"/>
      <c r="K91" s="108"/>
      <c r="N91" s="91">
        <f t="shared" si="10"/>
        <v>81.126986666666667</v>
      </c>
      <c r="O91" s="27">
        <f t="shared" si="11"/>
        <v>3026.3533214670269</v>
      </c>
      <c r="P91" s="85">
        <f t="shared" si="12"/>
        <v>3026.3533214670269</v>
      </c>
      <c r="Q91" s="100"/>
    </row>
    <row r="92" spans="3:17" s="50" customFormat="1" ht="36" customHeight="1">
      <c r="C92" s="24" t="s">
        <v>67</v>
      </c>
      <c r="D92" s="44" t="s">
        <v>193</v>
      </c>
      <c r="E92" s="47"/>
      <c r="F92" s="48"/>
      <c r="G92" s="49">
        <v>5.532</v>
      </c>
      <c r="H92" s="46">
        <f>(G92*H4*H2)/12</f>
        <v>3218.6867017217683</v>
      </c>
      <c r="I92" s="46">
        <v>2781.06</v>
      </c>
      <c r="J92" s="30">
        <f t="shared" si="7"/>
        <v>437.62670172176831</v>
      </c>
      <c r="K92" s="108"/>
      <c r="N92" s="91">
        <f t="shared" si="10"/>
        <v>88.659520000000001</v>
      </c>
      <c r="O92" s="27">
        <f t="shared" si="11"/>
        <v>3307.3462217217684</v>
      </c>
      <c r="P92" s="85">
        <f t="shared" si="12"/>
        <v>3307.3462217217684</v>
      </c>
      <c r="Q92" s="100"/>
    </row>
    <row r="93" spans="3:17" s="50" customFormat="1" ht="36" customHeight="1">
      <c r="C93" s="24" t="s">
        <v>117</v>
      </c>
      <c r="D93" s="44" t="s">
        <v>194</v>
      </c>
      <c r="E93" s="47"/>
      <c r="F93" s="48"/>
      <c r="G93" s="49">
        <f>5.532+0.33</f>
        <v>5.8620000000000001</v>
      </c>
      <c r="H93" s="46">
        <f>(G93*H4*H2)/12</f>
        <v>3410.6907891346723</v>
      </c>
      <c r="I93" s="46"/>
      <c r="J93" s="30"/>
      <c r="K93" s="108"/>
      <c r="N93" s="91">
        <f t="shared" si="10"/>
        <v>93.94832000000001</v>
      </c>
      <c r="O93" s="27">
        <f t="shared" si="11"/>
        <v>3504.6391091346723</v>
      </c>
      <c r="P93" s="85">
        <f t="shared" si="12"/>
        <v>3504.6391091346723</v>
      </c>
      <c r="Q93" s="100"/>
    </row>
    <row r="94" spans="3:17" s="50" customFormat="1" ht="37.5" customHeight="1">
      <c r="C94" s="24" t="s">
        <v>47</v>
      </c>
      <c r="D94" s="44" t="s">
        <v>195</v>
      </c>
      <c r="E94" s="47">
        <v>4891.8100000000004</v>
      </c>
      <c r="F94" s="48" t="e">
        <f>E94-#REF!</f>
        <v>#REF!</v>
      </c>
      <c r="G94" s="49">
        <v>10.632</v>
      </c>
      <c r="H94" s="46">
        <f>(G94*H4*H2)/12</f>
        <v>6186.0225981030089</v>
      </c>
      <c r="I94" s="46">
        <v>5344.94</v>
      </c>
      <c r="J94" s="30">
        <f t="shared" si="7"/>
        <v>841.08259810300933</v>
      </c>
      <c r="K94" s="108"/>
      <c r="N94" s="91">
        <f t="shared" si="10"/>
        <v>170.39552</v>
      </c>
      <c r="O94" s="27">
        <f t="shared" si="11"/>
        <v>6356.418118103009</v>
      </c>
      <c r="P94" s="85">
        <f t="shared" si="12"/>
        <v>6356.418118103009</v>
      </c>
      <c r="Q94" s="100"/>
    </row>
    <row r="95" spans="3:17" s="50" customFormat="1" ht="15.75" hidden="1" customHeight="1">
      <c r="C95" s="57" t="s">
        <v>68</v>
      </c>
      <c r="D95" s="58"/>
      <c r="E95" s="59"/>
      <c r="F95" s="60"/>
      <c r="G95" s="49"/>
      <c r="H95" s="46"/>
      <c r="I95" s="46"/>
      <c r="J95" s="30">
        <f t="shared" si="7"/>
        <v>0</v>
      </c>
      <c r="K95" s="108"/>
      <c r="N95" s="91">
        <f t="shared" si="10"/>
        <v>0</v>
      </c>
      <c r="O95" s="27">
        <f t="shared" si="11"/>
        <v>0</v>
      </c>
      <c r="P95" s="85">
        <f t="shared" si="12"/>
        <v>0</v>
      </c>
      <c r="Q95" s="100"/>
    </row>
    <row r="96" spans="3:17" s="50" customFormat="1" ht="15.75" hidden="1" customHeight="1">
      <c r="C96" s="33" t="s">
        <v>69</v>
      </c>
      <c r="D96" s="29"/>
      <c r="E96" s="59"/>
      <c r="F96" s="60"/>
      <c r="G96" s="49"/>
      <c r="H96" s="46"/>
      <c r="I96" s="46"/>
      <c r="J96" s="30">
        <f t="shared" si="7"/>
        <v>0</v>
      </c>
      <c r="K96" s="108"/>
      <c r="N96" s="91">
        <f t="shared" si="10"/>
        <v>0</v>
      </c>
      <c r="O96" s="27">
        <f t="shared" si="11"/>
        <v>0</v>
      </c>
      <c r="P96" s="85">
        <f t="shared" si="12"/>
        <v>0</v>
      </c>
      <c r="Q96" s="100"/>
    </row>
    <row r="97" spans="3:17" s="50" customFormat="1" ht="15.75" hidden="1" customHeight="1">
      <c r="C97" s="24" t="s">
        <v>70</v>
      </c>
      <c r="D97" s="29"/>
      <c r="E97" s="59"/>
      <c r="F97" s="60"/>
      <c r="G97" s="49"/>
      <c r="H97" s="46"/>
      <c r="I97" s="46"/>
      <c r="J97" s="30">
        <f t="shared" si="7"/>
        <v>0</v>
      </c>
      <c r="K97" s="108"/>
      <c r="N97" s="91">
        <f t="shared" si="10"/>
        <v>0</v>
      </c>
      <c r="O97" s="27">
        <f t="shared" si="11"/>
        <v>0</v>
      </c>
      <c r="P97" s="85">
        <f t="shared" si="12"/>
        <v>0</v>
      </c>
      <c r="Q97" s="100"/>
    </row>
    <row r="98" spans="3:17" s="50" customFormat="1" ht="15.75" hidden="1" customHeight="1">
      <c r="C98" s="57" t="s">
        <v>71</v>
      </c>
      <c r="D98" s="29"/>
      <c r="E98" s="59"/>
      <c r="F98" s="60"/>
      <c r="G98" s="49"/>
      <c r="H98" s="46"/>
      <c r="I98" s="46"/>
      <c r="J98" s="30">
        <f t="shared" si="7"/>
        <v>0</v>
      </c>
      <c r="K98" s="108"/>
      <c r="N98" s="91">
        <f t="shared" si="10"/>
        <v>0</v>
      </c>
      <c r="O98" s="27">
        <f t="shared" si="11"/>
        <v>0</v>
      </c>
      <c r="P98" s="85">
        <f t="shared" si="12"/>
        <v>0</v>
      </c>
      <c r="Q98" s="100"/>
    </row>
    <row r="99" spans="3:17" s="50" customFormat="1" ht="15.75" hidden="1" customHeight="1">
      <c r="C99" s="33" t="s">
        <v>69</v>
      </c>
      <c r="D99" s="29"/>
      <c r="E99" s="59"/>
      <c r="F99" s="60"/>
      <c r="G99" s="49"/>
      <c r="H99" s="46"/>
      <c r="I99" s="46"/>
      <c r="J99" s="30">
        <f t="shared" si="7"/>
        <v>0</v>
      </c>
      <c r="K99" s="108"/>
      <c r="N99" s="91">
        <f t="shared" si="10"/>
        <v>0</v>
      </c>
      <c r="O99" s="27">
        <f t="shared" si="11"/>
        <v>0</v>
      </c>
      <c r="P99" s="85">
        <f t="shared" si="12"/>
        <v>0</v>
      </c>
      <c r="Q99" s="100"/>
    </row>
    <row r="100" spans="3:17" s="50" customFormat="1" ht="15.75" hidden="1" customHeight="1">
      <c r="C100" s="57" t="s">
        <v>72</v>
      </c>
      <c r="D100" s="58"/>
      <c r="E100" s="59"/>
      <c r="F100" s="60"/>
      <c r="G100" s="49"/>
      <c r="H100" s="46"/>
      <c r="I100" s="46"/>
      <c r="J100" s="30">
        <f t="shared" si="7"/>
        <v>0</v>
      </c>
      <c r="K100" s="108"/>
      <c r="N100" s="91">
        <f t="shared" si="10"/>
        <v>0</v>
      </c>
      <c r="O100" s="27">
        <f t="shared" si="11"/>
        <v>0</v>
      </c>
      <c r="P100" s="85">
        <f t="shared" si="12"/>
        <v>0</v>
      </c>
      <c r="Q100" s="100"/>
    </row>
    <row r="101" spans="3:17" s="50" customFormat="1" ht="15.75" hidden="1" customHeight="1">
      <c r="C101" s="33" t="s">
        <v>73</v>
      </c>
      <c r="D101" s="29"/>
      <c r="E101" s="59"/>
      <c r="F101" s="60"/>
      <c r="G101" s="49"/>
      <c r="H101" s="46"/>
      <c r="I101" s="46"/>
      <c r="J101" s="30">
        <f t="shared" si="7"/>
        <v>0</v>
      </c>
      <c r="K101" s="108"/>
      <c r="N101" s="91">
        <f t="shared" si="10"/>
        <v>0</v>
      </c>
      <c r="O101" s="27">
        <f t="shared" si="11"/>
        <v>0</v>
      </c>
      <c r="P101" s="85">
        <f t="shared" si="12"/>
        <v>0</v>
      </c>
      <c r="Q101" s="100"/>
    </row>
    <row r="102" spans="3:17" s="50" customFormat="1" ht="51.75" customHeight="1">
      <c r="C102" s="24" t="s">
        <v>118</v>
      </c>
      <c r="D102" s="44" t="s">
        <v>196</v>
      </c>
      <c r="E102" s="59"/>
      <c r="F102" s="60"/>
      <c r="G102" s="49">
        <f>10.632+0.33</f>
        <v>10.962</v>
      </c>
      <c r="H102" s="46">
        <f>(G102*H4*H2)/12</f>
        <v>6378.0266855159125</v>
      </c>
      <c r="I102" s="46"/>
      <c r="J102" s="30"/>
      <c r="K102" s="108"/>
      <c r="N102" s="91">
        <f t="shared" si="10"/>
        <v>175.68431999999999</v>
      </c>
      <c r="O102" s="27">
        <f t="shared" si="11"/>
        <v>6553.7110055159128</v>
      </c>
      <c r="P102" s="85">
        <f t="shared" si="12"/>
        <v>6553.7110055159128</v>
      </c>
      <c r="Q102" s="100"/>
    </row>
    <row r="103" spans="3:17" s="50" customFormat="1" ht="41.25" customHeight="1">
      <c r="C103" s="24" t="s">
        <v>74</v>
      </c>
      <c r="D103" s="44" t="s">
        <v>197</v>
      </c>
      <c r="E103" s="59"/>
      <c r="F103" s="60"/>
      <c r="G103" s="49">
        <v>11.432</v>
      </c>
      <c r="H103" s="46">
        <f>(G103*H4*H2)/12</f>
        <v>6651.4870524373209</v>
      </c>
      <c r="I103" s="46">
        <v>5747.12</v>
      </c>
      <c r="J103" s="30">
        <f t="shared" si="7"/>
        <v>904.36705243732104</v>
      </c>
      <c r="K103" s="108"/>
      <c r="N103" s="91">
        <f t="shared" si="10"/>
        <v>183.21685333333335</v>
      </c>
      <c r="O103" s="27">
        <f t="shared" si="11"/>
        <v>6834.7039057706543</v>
      </c>
      <c r="P103" s="85">
        <f t="shared" si="12"/>
        <v>6834.7039057706543</v>
      </c>
      <c r="Q103" s="100"/>
    </row>
    <row r="104" spans="3:17" s="50" customFormat="1" ht="41.25" customHeight="1">
      <c r="C104" s="24" t="s">
        <v>119</v>
      </c>
      <c r="D104" s="44" t="s">
        <v>196</v>
      </c>
      <c r="E104" s="59"/>
      <c r="F104" s="60"/>
      <c r="G104" s="49">
        <f>11.432+0.33</f>
        <v>11.762</v>
      </c>
      <c r="H104" s="46">
        <f>(G104*H4*H2)/12</f>
        <v>6843.4911398502254</v>
      </c>
      <c r="I104" s="46"/>
      <c r="J104" s="30"/>
      <c r="K104" s="108"/>
      <c r="N104" s="91">
        <f t="shared" si="10"/>
        <v>188.50565333333336</v>
      </c>
      <c r="O104" s="27">
        <f t="shared" si="11"/>
        <v>7031.996793183559</v>
      </c>
      <c r="P104" s="85">
        <f t="shared" si="12"/>
        <v>7031.996793183559</v>
      </c>
      <c r="Q104" s="100"/>
    </row>
    <row r="105" spans="3:17" s="23" customFormat="1" ht="15.75">
      <c r="C105" s="34" t="s">
        <v>75</v>
      </c>
      <c r="D105" s="35"/>
      <c r="E105" s="36"/>
      <c r="F105" s="37"/>
      <c r="G105" s="38" t="s">
        <v>127</v>
      </c>
      <c r="H105" s="42"/>
      <c r="I105" s="42"/>
      <c r="J105" s="43">
        <f t="shared" si="7"/>
        <v>0</v>
      </c>
      <c r="K105" s="108"/>
      <c r="N105" s="94" t="e">
        <f t="shared" si="10"/>
        <v>#VALUE!</v>
      </c>
      <c r="O105" s="96"/>
      <c r="P105" s="64"/>
      <c r="Q105" s="99"/>
    </row>
    <row r="106" spans="3:17" s="23" customFormat="1" ht="15.75">
      <c r="C106" s="61" t="s">
        <v>76</v>
      </c>
      <c r="D106" s="25" t="s">
        <v>128</v>
      </c>
      <c r="E106" s="45">
        <v>386.49</v>
      </c>
      <c r="F106" s="27" t="e">
        <f>E106-#REF!</f>
        <v>#REF!</v>
      </c>
      <c r="G106" s="31">
        <v>0.84</v>
      </c>
      <c r="H106" s="46">
        <f>(G106*H4*H2)/12</f>
        <v>488.73767705102779</v>
      </c>
      <c r="I106" s="32">
        <v>422.29</v>
      </c>
      <c r="J106" s="30">
        <f t="shared" si="7"/>
        <v>66.447677051027767</v>
      </c>
      <c r="K106" s="108"/>
      <c r="N106" s="91">
        <f t="shared" si="10"/>
        <v>13.462400000000001</v>
      </c>
      <c r="O106" s="27">
        <v>444.59</v>
      </c>
      <c r="P106" s="85">
        <v>446.7</v>
      </c>
      <c r="Q106" s="99"/>
    </row>
    <row r="107" spans="3:17" s="23" customFormat="1" ht="25.5" hidden="1" customHeight="1">
      <c r="C107" s="62" t="s">
        <v>77</v>
      </c>
      <c r="D107" s="63"/>
      <c r="E107" s="36"/>
      <c r="F107" s="37"/>
      <c r="G107" s="38"/>
      <c r="H107" s="83">
        <f>H99*K99*G107</f>
        <v>0</v>
      </c>
      <c r="I107" s="32"/>
      <c r="J107" s="30">
        <f t="shared" si="7"/>
        <v>0</v>
      </c>
      <c r="K107" s="108"/>
      <c r="N107" s="91">
        <f t="shared" si="10"/>
        <v>0</v>
      </c>
      <c r="O107" s="27">
        <f t="shared" si="11"/>
        <v>0</v>
      </c>
      <c r="P107" s="85">
        <f t="shared" ref="P107:P136" si="13">SUM(O107+Q107)</f>
        <v>0</v>
      </c>
      <c r="Q107" s="99"/>
    </row>
    <row r="108" spans="3:17" s="23" customFormat="1" ht="15.75" hidden="1" customHeight="1">
      <c r="C108" s="61" t="s">
        <v>69</v>
      </c>
      <c r="D108" s="25" t="s">
        <v>78</v>
      </c>
      <c r="E108" s="64">
        <v>160.03</v>
      </c>
      <c r="F108" s="27" t="e">
        <f>E108-#REF!</f>
        <v>#REF!</v>
      </c>
      <c r="G108" s="31"/>
      <c r="H108" s="83">
        <f>H100*K100*G108</f>
        <v>0</v>
      </c>
      <c r="I108" s="32"/>
      <c r="J108" s="30">
        <f t="shared" si="7"/>
        <v>0</v>
      </c>
      <c r="K108" s="108"/>
      <c r="N108" s="91">
        <f t="shared" si="10"/>
        <v>0</v>
      </c>
      <c r="O108" s="27">
        <f t="shared" si="11"/>
        <v>0</v>
      </c>
      <c r="P108" s="85">
        <f t="shared" si="13"/>
        <v>0</v>
      </c>
      <c r="Q108" s="99"/>
    </row>
    <row r="109" spans="3:17" s="23" customFormat="1" ht="15.75">
      <c r="C109" s="34" t="s">
        <v>79</v>
      </c>
      <c r="D109" s="35"/>
      <c r="E109" s="36"/>
      <c r="F109" s="37"/>
      <c r="G109" s="38"/>
      <c r="H109" s="42"/>
      <c r="I109" s="42"/>
      <c r="J109" s="43">
        <f t="shared" si="7"/>
        <v>0</v>
      </c>
      <c r="K109" s="108"/>
      <c r="N109" s="92">
        <f t="shared" si="10"/>
        <v>0</v>
      </c>
      <c r="O109" s="97"/>
      <c r="P109" s="85" t="s">
        <v>127</v>
      </c>
      <c r="Q109" s="99"/>
    </row>
    <row r="110" spans="3:17" s="23" customFormat="1" ht="15.75">
      <c r="C110" s="65" t="s">
        <v>80</v>
      </c>
      <c r="D110" s="101" t="s">
        <v>81</v>
      </c>
      <c r="E110" s="45">
        <v>83.74</v>
      </c>
      <c r="F110" s="27" t="e">
        <f>E110-#REF!</f>
        <v>#REF!</v>
      </c>
      <c r="G110" s="31">
        <v>5.0000000000000001E-3</v>
      </c>
      <c r="H110" s="46">
        <v>2.91</v>
      </c>
      <c r="I110" s="32">
        <v>91.5</v>
      </c>
      <c r="J110" s="30">
        <f t="shared" si="7"/>
        <v>-88.59</v>
      </c>
      <c r="K110" s="108"/>
      <c r="N110" s="91">
        <f t="shared" si="10"/>
        <v>8.0133333333333334E-2</v>
      </c>
      <c r="O110" s="27">
        <f t="shared" si="11"/>
        <v>2.9901333333333335</v>
      </c>
      <c r="P110" s="85">
        <f t="shared" si="13"/>
        <v>2.9901333333333335</v>
      </c>
      <c r="Q110" s="99"/>
    </row>
    <row r="111" spans="3:17" s="23" customFormat="1" ht="23.25" hidden="1" customHeight="1">
      <c r="C111" s="62" t="s">
        <v>82</v>
      </c>
      <c r="D111" s="35"/>
      <c r="E111" s="66"/>
      <c r="F111" s="37"/>
      <c r="G111" s="38"/>
      <c r="H111" s="83">
        <f>H107*K107*G111</f>
        <v>0</v>
      </c>
      <c r="I111" s="32"/>
      <c r="J111" s="30">
        <f t="shared" si="7"/>
        <v>0</v>
      </c>
      <c r="K111" s="108"/>
      <c r="N111" s="91">
        <f t="shared" si="10"/>
        <v>0</v>
      </c>
      <c r="O111" s="27">
        <f t="shared" si="11"/>
        <v>0</v>
      </c>
      <c r="P111" s="85">
        <f t="shared" si="13"/>
        <v>0</v>
      </c>
      <c r="Q111" s="99"/>
    </row>
    <row r="112" spans="3:17" s="23" customFormat="1" ht="15.75" hidden="1" customHeight="1">
      <c r="C112" s="67" t="s">
        <v>83</v>
      </c>
      <c r="D112" s="26"/>
      <c r="E112" s="45"/>
      <c r="F112" s="68"/>
      <c r="G112" s="31"/>
      <c r="H112" s="83">
        <f>H108*K108*G112</f>
        <v>0</v>
      </c>
      <c r="I112" s="32"/>
      <c r="J112" s="30">
        <f t="shared" si="7"/>
        <v>0</v>
      </c>
      <c r="K112" s="108"/>
      <c r="N112" s="91">
        <f t="shared" si="10"/>
        <v>0</v>
      </c>
      <c r="O112" s="27">
        <f t="shared" si="11"/>
        <v>0</v>
      </c>
      <c r="P112" s="85">
        <f t="shared" si="13"/>
        <v>0</v>
      </c>
      <c r="Q112" s="99"/>
    </row>
    <row r="113" spans="3:17" s="23" customFormat="1" ht="24.75" hidden="1" customHeight="1">
      <c r="C113" s="62" t="s">
        <v>84</v>
      </c>
      <c r="D113" s="35"/>
      <c r="E113" s="66"/>
      <c r="F113" s="37"/>
      <c r="G113" s="38"/>
      <c r="H113" s="83">
        <f>H109*K109*G113</f>
        <v>0</v>
      </c>
      <c r="I113" s="32"/>
      <c r="J113" s="30">
        <f t="shared" si="7"/>
        <v>0</v>
      </c>
      <c r="K113" s="108"/>
      <c r="N113" s="91">
        <f t="shared" si="10"/>
        <v>0</v>
      </c>
      <c r="O113" s="27">
        <f t="shared" si="11"/>
        <v>0</v>
      </c>
      <c r="P113" s="85">
        <f t="shared" si="13"/>
        <v>0</v>
      </c>
      <c r="Q113" s="99"/>
    </row>
    <row r="114" spans="3:17" s="23" customFormat="1" ht="15.75" hidden="1" customHeight="1">
      <c r="C114" s="67" t="s">
        <v>85</v>
      </c>
      <c r="D114" s="25" t="s">
        <v>78</v>
      </c>
      <c r="E114" s="45">
        <v>160.03</v>
      </c>
      <c r="F114" s="27" t="e">
        <f>E114-#REF!</f>
        <v>#REF!</v>
      </c>
      <c r="G114" s="31"/>
      <c r="H114" s="83">
        <f>H110*K110*G114</f>
        <v>0</v>
      </c>
      <c r="I114" s="32"/>
      <c r="J114" s="30">
        <f t="shared" si="7"/>
        <v>0</v>
      </c>
      <c r="K114" s="108"/>
      <c r="N114" s="91">
        <f t="shared" si="10"/>
        <v>0</v>
      </c>
      <c r="O114" s="27">
        <f t="shared" si="11"/>
        <v>0</v>
      </c>
      <c r="P114" s="85">
        <f t="shared" si="13"/>
        <v>0</v>
      </c>
      <c r="Q114" s="99"/>
    </row>
    <row r="115" spans="3:17" s="23" customFormat="1" ht="15.75">
      <c r="C115" s="69" t="s">
        <v>86</v>
      </c>
      <c r="D115" s="70"/>
      <c r="E115" s="66"/>
      <c r="F115" s="37"/>
      <c r="G115" s="38"/>
      <c r="H115" s="42"/>
      <c r="I115" s="42"/>
      <c r="J115" s="43">
        <f t="shared" si="7"/>
        <v>0</v>
      </c>
      <c r="K115" s="108"/>
      <c r="N115" s="94">
        <f t="shared" si="10"/>
        <v>0</v>
      </c>
      <c r="O115" s="96"/>
      <c r="P115" s="85">
        <f t="shared" si="13"/>
        <v>0</v>
      </c>
      <c r="Q115" s="99"/>
    </row>
    <row r="116" spans="3:17" s="23" customFormat="1" ht="15.75">
      <c r="C116" s="65" t="s">
        <v>80</v>
      </c>
      <c r="D116" s="25" t="s">
        <v>213</v>
      </c>
      <c r="E116" s="45">
        <v>635.86</v>
      </c>
      <c r="F116" s="27" t="e">
        <f>E116-#REF!</f>
        <v>#REF!</v>
      </c>
      <c r="G116" s="31">
        <v>1.0149999999999999</v>
      </c>
      <c r="H116" s="46">
        <f>(G116*H4*H2)/12</f>
        <v>590.55802643665845</v>
      </c>
      <c r="I116" s="32">
        <v>694.76</v>
      </c>
      <c r="J116" s="30">
        <f t="shared" si="7"/>
        <v>-104.20197356334154</v>
      </c>
      <c r="K116" s="108"/>
      <c r="N116" s="91">
        <f t="shared" si="10"/>
        <v>16.267066666666665</v>
      </c>
      <c r="O116" s="27">
        <f t="shared" si="11"/>
        <v>606.82509310332512</v>
      </c>
      <c r="P116" s="85">
        <f t="shared" si="13"/>
        <v>606.82509310332512</v>
      </c>
      <c r="Q116" s="99"/>
    </row>
    <row r="117" spans="3:17" s="23" customFormat="1" ht="32.25" customHeight="1">
      <c r="C117" s="34" t="s">
        <v>87</v>
      </c>
      <c r="D117" s="35"/>
      <c r="E117" s="36"/>
      <c r="F117" s="37"/>
      <c r="G117" s="38"/>
      <c r="H117" s="42"/>
      <c r="I117" s="42"/>
      <c r="J117" s="43">
        <f t="shared" si="7"/>
        <v>0</v>
      </c>
      <c r="K117" s="108"/>
      <c r="N117" s="94">
        <f t="shared" si="10"/>
        <v>0</v>
      </c>
      <c r="O117" s="96"/>
      <c r="P117" s="85">
        <f t="shared" si="13"/>
        <v>0</v>
      </c>
      <c r="Q117" s="99"/>
    </row>
    <row r="118" spans="3:17" s="23" customFormat="1" ht="15.75">
      <c r="C118" s="65" t="s">
        <v>80</v>
      </c>
      <c r="D118" s="101" t="s">
        <v>198</v>
      </c>
      <c r="E118" s="45">
        <v>543.84</v>
      </c>
      <c r="F118" s="27" t="e">
        <f>E118-#REF!</f>
        <v>#REF!</v>
      </c>
      <c r="G118" s="31">
        <v>0.85499999999999998</v>
      </c>
      <c r="H118" s="46">
        <f>(H4*H2*G118)/12</f>
        <v>497.46513556979613</v>
      </c>
      <c r="I118" s="32">
        <v>594.22</v>
      </c>
      <c r="J118" s="30">
        <f t="shared" si="7"/>
        <v>-96.754864430203895</v>
      </c>
      <c r="K118" s="108"/>
      <c r="N118" s="91">
        <f t="shared" si="10"/>
        <v>13.702799999999998</v>
      </c>
      <c r="O118" s="27">
        <f t="shared" si="11"/>
        <v>511.16793556979616</v>
      </c>
      <c r="P118" s="85">
        <f t="shared" si="13"/>
        <v>511.16793556979616</v>
      </c>
      <c r="Q118" s="99"/>
    </row>
    <row r="119" spans="3:17" s="23" customFormat="1" ht="16.5" customHeight="1">
      <c r="C119" s="34" t="s">
        <v>88</v>
      </c>
      <c r="D119" s="71"/>
      <c r="E119" s="36"/>
      <c r="F119" s="37"/>
      <c r="G119" s="38"/>
      <c r="H119" s="42"/>
      <c r="I119" s="42"/>
      <c r="J119" s="43">
        <f t="shared" si="7"/>
        <v>0</v>
      </c>
      <c r="K119" s="108"/>
      <c r="N119" s="94">
        <f t="shared" si="10"/>
        <v>0</v>
      </c>
      <c r="O119" s="96"/>
      <c r="P119" s="85">
        <f t="shared" si="13"/>
        <v>0</v>
      </c>
      <c r="Q119" s="99"/>
    </row>
    <row r="120" spans="3:17" s="23" customFormat="1" ht="15.75">
      <c r="C120" s="65" t="s">
        <v>80</v>
      </c>
      <c r="D120" s="25" t="s">
        <v>199</v>
      </c>
      <c r="E120" s="45">
        <v>456.42</v>
      </c>
      <c r="F120" s="27" t="e">
        <f>E120-#REF!</f>
        <v>#REF!</v>
      </c>
      <c r="G120" s="31">
        <v>0.85499999999999998</v>
      </c>
      <c r="H120" s="46">
        <f>(G120*H4*H2)/12</f>
        <v>497.46513556979613</v>
      </c>
      <c r="I120" s="32">
        <v>498.7</v>
      </c>
      <c r="J120" s="30">
        <f t="shared" si="7"/>
        <v>-1.2348644302038565</v>
      </c>
      <c r="K120" s="108"/>
      <c r="N120" s="91">
        <f t="shared" si="10"/>
        <v>13.702799999999998</v>
      </c>
      <c r="O120" s="27">
        <f t="shared" si="11"/>
        <v>511.16793556979616</v>
      </c>
      <c r="P120" s="85">
        <f t="shared" si="13"/>
        <v>511.16793556979616</v>
      </c>
      <c r="Q120" s="99"/>
    </row>
    <row r="121" spans="3:17" s="23" customFormat="1" ht="40.5" customHeight="1">
      <c r="C121" s="34" t="s">
        <v>89</v>
      </c>
      <c r="D121" s="72"/>
      <c r="E121" s="36"/>
      <c r="F121" s="37"/>
      <c r="G121" s="38"/>
      <c r="H121" s="42"/>
      <c r="I121" s="42"/>
      <c r="J121" s="43">
        <f t="shared" si="7"/>
        <v>0</v>
      </c>
      <c r="K121" s="108"/>
      <c r="N121" s="94">
        <f t="shared" si="10"/>
        <v>0</v>
      </c>
      <c r="O121" s="96"/>
      <c r="P121" s="85">
        <f t="shared" si="13"/>
        <v>0</v>
      </c>
      <c r="Q121" s="99"/>
    </row>
    <row r="122" spans="3:17" s="23" customFormat="1" ht="15.75">
      <c r="C122" s="65" t="s">
        <v>80</v>
      </c>
      <c r="D122" s="73" t="s">
        <v>200</v>
      </c>
      <c r="E122" s="45">
        <v>171.16</v>
      </c>
      <c r="F122" s="68" t="e">
        <f>E122-#REF!</f>
        <v>#REF!</v>
      </c>
      <c r="G122" s="31">
        <v>0.23499999999999999</v>
      </c>
      <c r="H122" s="46">
        <f>(G122*H4*H2)/12</f>
        <v>136.73018346070418</v>
      </c>
      <c r="I122" s="32">
        <v>187.01</v>
      </c>
      <c r="J122" s="30">
        <f t="shared" si="7"/>
        <v>-50.279816539295808</v>
      </c>
      <c r="K122" s="108"/>
      <c r="N122" s="91">
        <f t="shared" si="10"/>
        <v>3.7662666666666662</v>
      </c>
      <c r="O122" s="27">
        <f t="shared" si="11"/>
        <v>140.49645012737085</v>
      </c>
      <c r="P122" s="85">
        <f t="shared" si="13"/>
        <v>140.49645012737085</v>
      </c>
      <c r="Q122" s="99"/>
    </row>
    <row r="123" spans="3:17" s="23" customFormat="1" ht="60" customHeight="1">
      <c r="C123" s="61" t="s">
        <v>90</v>
      </c>
      <c r="D123" s="73" t="s">
        <v>201</v>
      </c>
      <c r="E123" s="45">
        <v>111.34</v>
      </c>
      <c r="F123" s="68" t="e">
        <f>E123-#REF!</f>
        <v>#REF!</v>
      </c>
      <c r="G123" s="31">
        <v>0.105</v>
      </c>
      <c r="H123" s="46">
        <f>(G123*H4*H2)/12</f>
        <v>61.092209631378473</v>
      </c>
      <c r="I123" s="32">
        <v>121.66</v>
      </c>
      <c r="J123" s="30">
        <f t="shared" si="7"/>
        <v>-60.567790368621523</v>
      </c>
      <c r="K123" s="108"/>
      <c r="N123" s="91">
        <f t="shared" si="10"/>
        <v>1.6828000000000001</v>
      </c>
      <c r="O123" s="27">
        <f t="shared" si="11"/>
        <v>62.775009631378474</v>
      </c>
      <c r="P123" s="85">
        <f t="shared" si="13"/>
        <v>62.775009631378474</v>
      </c>
      <c r="Q123" s="99"/>
    </row>
    <row r="124" spans="3:17" s="23" customFormat="1" ht="15.75">
      <c r="C124" s="66" t="s">
        <v>91</v>
      </c>
      <c r="D124" s="74"/>
      <c r="E124" s="36"/>
      <c r="F124" s="37"/>
      <c r="G124" s="38"/>
      <c r="H124" s="42"/>
      <c r="I124" s="42"/>
      <c r="J124" s="43">
        <f t="shared" si="7"/>
        <v>0</v>
      </c>
      <c r="K124" s="108"/>
      <c r="N124" s="94">
        <f t="shared" si="10"/>
        <v>0</v>
      </c>
      <c r="O124" s="96"/>
      <c r="P124" s="85">
        <f t="shared" si="13"/>
        <v>0</v>
      </c>
      <c r="Q124" s="99"/>
    </row>
    <row r="125" spans="3:17" s="23" customFormat="1" ht="20.25" hidden="1" customHeight="1">
      <c r="C125" s="75" t="s">
        <v>92</v>
      </c>
      <c r="D125" s="76" t="s">
        <v>93</v>
      </c>
      <c r="E125" s="47">
        <v>687.39</v>
      </c>
      <c r="F125" s="68" t="e">
        <f>E125-#REF!</f>
        <v>#REF!</v>
      </c>
      <c r="G125" s="31">
        <v>1.494</v>
      </c>
      <c r="H125" s="32">
        <f>(G125*H1*K2)/12</f>
        <v>0.12678081739742805</v>
      </c>
      <c r="I125" s="32">
        <v>751.07</v>
      </c>
      <c r="J125" s="30">
        <f t="shared" si="7"/>
        <v>-750.94321918260266</v>
      </c>
      <c r="K125" s="108"/>
      <c r="N125" s="91">
        <f t="shared" si="10"/>
        <v>23.943839999999998</v>
      </c>
      <c r="O125" s="27">
        <f t="shared" si="11"/>
        <v>24.070620817397426</v>
      </c>
      <c r="P125" s="85">
        <f t="shared" si="13"/>
        <v>24.070620817397426</v>
      </c>
      <c r="Q125" s="99"/>
    </row>
    <row r="126" spans="3:17" s="23" customFormat="1" ht="39.75" hidden="1" customHeight="1">
      <c r="C126" s="77" t="s">
        <v>94</v>
      </c>
      <c r="D126" s="73" t="s">
        <v>95</v>
      </c>
      <c r="E126" s="47">
        <v>664.39</v>
      </c>
      <c r="F126" s="68" t="e">
        <f>E126-#REF!</f>
        <v>#REF!</v>
      </c>
      <c r="G126" s="31">
        <v>1.444</v>
      </c>
      <c r="H126" s="32">
        <f>(G126*H1*K2)/12</f>
        <v>0.12253781815387288</v>
      </c>
      <c r="I126" s="32">
        <v>725.93</v>
      </c>
      <c r="J126" s="30">
        <f t="shared" si="7"/>
        <v>-725.80746218184606</v>
      </c>
      <c r="K126" s="108"/>
      <c r="N126" s="91">
        <f t="shared" si="10"/>
        <v>23.142506666666666</v>
      </c>
      <c r="O126" s="27">
        <f t="shared" si="11"/>
        <v>23.265044484820539</v>
      </c>
      <c r="P126" s="85">
        <f t="shared" si="13"/>
        <v>23.265044484820539</v>
      </c>
      <c r="Q126" s="99"/>
    </row>
    <row r="127" spans="3:17" s="23" customFormat="1" ht="318" customHeight="1">
      <c r="C127" s="77" t="s">
        <v>207</v>
      </c>
      <c r="D127" s="76" t="s">
        <v>202</v>
      </c>
      <c r="E127" s="47">
        <v>636.78</v>
      </c>
      <c r="F127" s="68" t="e">
        <f>E127-#REF!</f>
        <v>#REF!</v>
      </c>
      <c r="G127" s="31">
        <v>1.3839999999999999</v>
      </c>
      <c r="H127" s="32">
        <f>(G127*H4*H2)/12</f>
        <v>805.25350599835986</v>
      </c>
      <c r="I127" s="32">
        <v>695.77</v>
      </c>
      <c r="J127" s="30">
        <f t="shared" si="7"/>
        <v>109.48350599835987</v>
      </c>
      <c r="K127" s="108"/>
      <c r="N127" s="91">
        <f t="shared" si="10"/>
        <v>22.180906666666662</v>
      </c>
      <c r="O127" s="27">
        <f t="shared" si="11"/>
        <v>827.43441266502657</v>
      </c>
      <c r="P127" s="85">
        <f t="shared" si="13"/>
        <v>827.43441266502657</v>
      </c>
      <c r="Q127" s="99"/>
    </row>
    <row r="128" spans="3:17" s="23" customFormat="1" ht="15.75">
      <c r="C128" s="77" t="s">
        <v>96</v>
      </c>
      <c r="D128" s="73" t="s">
        <v>202</v>
      </c>
      <c r="E128" s="47">
        <v>609.17999999999995</v>
      </c>
      <c r="F128" s="68" t="e">
        <f>E128-#REF!</f>
        <v>#REF!</v>
      </c>
      <c r="G128" s="31">
        <v>1.3240000000000001</v>
      </c>
      <c r="H128" s="32">
        <f>(G128*H2*H4)/12</f>
        <v>770.34367192328671</v>
      </c>
      <c r="I128" s="32">
        <v>665.6</v>
      </c>
      <c r="J128" s="30">
        <f t="shared" si="7"/>
        <v>104.74367192328668</v>
      </c>
      <c r="K128" s="108"/>
      <c r="N128" s="91">
        <f t="shared" si="10"/>
        <v>21.219306666666668</v>
      </c>
      <c r="O128" s="27">
        <f t="shared" si="11"/>
        <v>791.56297858995333</v>
      </c>
      <c r="P128" s="85">
        <f t="shared" si="13"/>
        <v>791.56297858995333</v>
      </c>
      <c r="Q128" s="99"/>
    </row>
    <row r="129" spans="3:17" s="23" customFormat="1" ht="20.25" customHeight="1">
      <c r="C129" s="77" t="s">
        <v>70</v>
      </c>
      <c r="D129" s="76" t="s">
        <v>203</v>
      </c>
      <c r="E129" s="47">
        <v>540.16</v>
      </c>
      <c r="F129" s="68" t="e">
        <f>E129-#REF!</f>
        <v>#REF!</v>
      </c>
      <c r="G129" s="31">
        <v>1.1739999999999999</v>
      </c>
      <c r="H129" s="32">
        <f>(G129*H4*H2)/12</f>
        <v>683.06908673560304</v>
      </c>
      <c r="I129" s="32">
        <v>590.20000000000005</v>
      </c>
      <c r="J129" s="30">
        <f t="shared" si="7"/>
        <v>92.869086735602991</v>
      </c>
      <c r="K129" s="108"/>
      <c r="N129" s="91">
        <f t="shared" si="10"/>
        <v>18.815306666666665</v>
      </c>
      <c r="O129" s="27">
        <f t="shared" si="11"/>
        <v>701.88439340226967</v>
      </c>
      <c r="P129" s="85">
        <f t="shared" si="13"/>
        <v>701.88439340226967</v>
      </c>
      <c r="Q129" s="99"/>
    </row>
    <row r="130" spans="3:17" s="23" customFormat="1" ht="56.25" hidden="1" customHeight="1">
      <c r="C130" s="24" t="s">
        <v>98</v>
      </c>
      <c r="D130" s="73" t="s">
        <v>99</v>
      </c>
      <c r="E130" s="78"/>
      <c r="F130" s="79"/>
      <c r="G130" s="49">
        <v>2.5739999999999998</v>
      </c>
      <c r="H130" s="46">
        <f>(H1*K2*G130)/12</f>
        <v>0.21842960105821937</v>
      </c>
      <c r="I130" s="32">
        <v>1294.01</v>
      </c>
      <c r="J130" s="30">
        <f t="shared" si="7"/>
        <v>-1293.7915703989418</v>
      </c>
      <c r="K130" s="108"/>
      <c r="N130" s="91">
        <f t="shared" si="10"/>
        <v>41.252639999999992</v>
      </c>
      <c r="O130" s="27">
        <f t="shared" si="11"/>
        <v>41.471069601058211</v>
      </c>
      <c r="P130" s="85">
        <f t="shared" si="13"/>
        <v>41.471069601058211</v>
      </c>
      <c r="Q130" s="99"/>
    </row>
    <row r="131" spans="3:17" s="23" customFormat="1" ht="56.25" customHeight="1">
      <c r="C131" s="24" t="s">
        <v>100</v>
      </c>
      <c r="D131" s="73" t="s">
        <v>204</v>
      </c>
      <c r="E131" s="78"/>
      <c r="F131" s="79"/>
      <c r="G131" s="49">
        <f>1+0.08+0.082+0.012+9.5</f>
        <v>10.673999999999999</v>
      </c>
      <c r="H131" s="46">
        <f>(H4*H2*G131)/12</f>
        <v>6210.4594819555605</v>
      </c>
      <c r="I131" s="32">
        <v>5366.06</v>
      </c>
      <c r="J131" s="30">
        <f>H131-I131</f>
        <v>844.39948195556008</v>
      </c>
      <c r="K131" s="108"/>
      <c r="N131" s="91">
        <f t="shared" si="10"/>
        <v>171.06863999999999</v>
      </c>
      <c r="O131" s="27">
        <f t="shared" si="11"/>
        <v>6381.5281219555609</v>
      </c>
      <c r="P131" s="85">
        <f t="shared" si="13"/>
        <v>6381.5281219555609</v>
      </c>
      <c r="Q131" s="99"/>
    </row>
    <row r="132" spans="3:17" s="23" customFormat="1" ht="35.25" customHeight="1">
      <c r="C132" s="66" t="s">
        <v>101</v>
      </c>
      <c r="D132" s="74"/>
      <c r="E132" s="36"/>
      <c r="F132" s="37"/>
      <c r="G132" s="38"/>
      <c r="H132" s="42"/>
      <c r="I132" s="42"/>
      <c r="J132" s="43"/>
      <c r="K132" s="108"/>
      <c r="N132" s="94">
        <f t="shared" si="10"/>
        <v>0</v>
      </c>
      <c r="O132" s="96"/>
      <c r="P132" s="85">
        <f t="shared" si="13"/>
        <v>0</v>
      </c>
      <c r="Q132" s="99"/>
    </row>
    <row r="133" spans="3:17" s="23" customFormat="1" ht="56.25" customHeight="1">
      <c r="C133" s="24" t="s">
        <v>102</v>
      </c>
      <c r="D133" s="73" t="s">
        <v>205</v>
      </c>
      <c r="E133" s="78"/>
      <c r="F133" s="79"/>
      <c r="G133" s="49">
        <v>0.94199999999999995</v>
      </c>
      <c r="H133" s="46">
        <f>(H4*H2*G133)/12</f>
        <v>548.08439497865254</v>
      </c>
      <c r="I133" s="32">
        <v>473.56</v>
      </c>
      <c r="J133" s="30">
        <f>H133-I133</f>
        <v>74.524394978652538</v>
      </c>
      <c r="K133" s="108"/>
      <c r="N133" s="91">
        <f t="shared" si="10"/>
        <v>15.097119999999999</v>
      </c>
      <c r="O133" s="27">
        <f t="shared" si="11"/>
        <v>563.18151497865256</v>
      </c>
      <c r="P133" s="85">
        <f t="shared" si="13"/>
        <v>563.18151497865256</v>
      </c>
      <c r="Q133" s="99"/>
    </row>
    <row r="134" spans="3:17" s="23" customFormat="1" ht="15.75">
      <c r="C134" s="66" t="s">
        <v>103</v>
      </c>
      <c r="D134" s="74"/>
      <c r="E134" s="36"/>
      <c r="F134" s="37"/>
      <c r="G134" s="38"/>
      <c r="H134" s="42"/>
      <c r="I134" s="42"/>
      <c r="J134" s="43">
        <f t="shared" si="7"/>
        <v>0</v>
      </c>
      <c r="K134" s="108"/>
      <c r="N134" s="94">
        <f t="shared" si="10"/>
        <v>0</v>
      </c>
      <c r="O134" s="96"/>
      <c r="P134" s="85">
        <f t="shared" si="13"/>
        <v>0</v>
      </c>
      <c r="Q134" s="99"/>
    </row>
    <row r="135" spans="3:17" s="23" customFormat="1" ht="20.25" hidden="1" customHeight="1">
      <c r="C135" s="75" t="s">
        <v>92</v>
      </c>
      <c r="D135" s="76" t="s">
        <v>93</v>
      </c>
      <c r="E135" s="47">
        <v>687.39</v>
      </c>
      <c r="F135" s="68" t="e">
        <f>E135-#REF!</f>
        <v>#REF!</v>
      </c>
      <c r="G135" s="31">
        <v>1.494</v>
      </c>
      <c r="H135" s="32">
        <f>(G135*H1*K2)/12</f>
        <v>0.12678081739742805</v>
      </c>
      <c r="I135" s="32">
        <v>751.07</v>
      </c>
      <c r="J135" s="30">
        <f t="shared" si="7"/>
        <v>-750.94321918260266</v>
      </c>
      <c r="K135" s="108"/>
      <c r="N135" s="91">
        <f t="shared" si="10"/>
        <v>23.943839999999998</v>
      </c>
      <c r="O135" s="27">
        <f t="shared" si="11"/>
        <v>24.070620817397426</v>
      </c>
      <c r="P135" s="85">
        <f t="shared" si="13"/>
        <v>24.070620817397426</v>
      </c>
      <c r="Q135" s="99"/>
    </row>
    <row r="136" spans="3:17" s="23" customFormat="1" ht="30" hidden="1">
      <c r="C136" s="77" t="s">
        <v>94</v>
      </c>
      <c r="D136" s="73" t="s">
        <v>95</v>
      </c>
      <c r="E136" s="47">
        <v>664.39</v>
      </c>
      <c r="F136" s="68" t="e">
        <f>E136-#REF!</f>
        <v>#REF!</v>
      </c>
      <c r="G136" s="31">
        <v>1.444</v>
      </c>
      <c r="H136" s="32">
        <f>(G136*H1*K2)/12</f>
        <v>0.12253781815387288</v>
      </c>
      <c r="I136" s="32">
        <v>725.93</v>
      </c>
      <c r="J136" s="30">
        <f t="shared" si="7"/>
        <v>-725.80746218184606</v>
      </c>
      <c r="K136" s="108"/>
      <c r="N136" s="91">
        <f t="shared" si="10"/>
        <v>23.142506666666666</v>
      </c>
      <c r="O136" s="27">
        <f t="shared" si="11"/>
        <v>23.265044484820539</v>
      </c>
      <c r="P136" s="85">
        <f t="shared" si="13"/>
        <v>23.265044484820539</v>
      </c>
      <c r="Q136" s="99"/>
    </row>
    <row r="137" spans="3:17" s="23" customFormat="1" ht="318" customHeight="1">
      <c r="C137" s="77" t="s">
        <v>123</v>
      </c>
      <c r="D137" s="76" t="s">
        <v>124</v>
      </c>
      <c r="E137" s="47">
        <v>636.78</v>
      </c>
      <c r="F137" s="68" t="e">
        <f>E137-#REF!</f>
        <v>#REF!</v>
      </c>
      <c r="G137" s="31">
        <v>2.024</v>
      </c>
      <c r="H137" s="32">
        <f>(G137*H4*H2)/12</f>
        <v>1177.6250694658097</v>
      </c>
      <c r="I137" s="32">
        <v>695.77</v>
      </c>
      <c r="J137" s="30">
        <f t="shared" si="7"/>
        <v>481.85506946580972</v>
      </c>
      <c r="K137" s="108"/>
      <c r="N137" s="91">
        <f t="shared" si="10"/>
        <v>32.437973333333332</v>
      </c>
      <c r="O137" s="27">
        <f t="shared" si="11"/>
        <v>1210.063042799143</v>
      </c>
      <c r="P137" s="85">
        <f>SUM(O137+Q137)</f>
        <v>1210.063042799143</v>
      </c>
      <c r="Q137" s="99"/>
    </row>
    <row r="138" spans="3:17" s="23" customFormat="1" ht="318" customHeight="1">
      <c r="C138" s="77" t="s">
        <v>120</v>
      </c>
      <c r="D138" s="76" t="s">
        <v>206</v>
      </c>
      <c r="E138" s="47"/>
      <c r="F138" s="68"/>
      <c r="G138" s="31">
        <f>1.384+0.33</f>
        <v>1.714</v>
      </c>
      <c r="H138" s="32">
        <f>(G138*H4*H2)/12</f>
        <v>997.25759341126377</v>
      </c>
      <c r="I138" s="32"/>
      <c r="J138" s="30"/>
      <c r="K138" s="108"/>
      <c r="N138" s="91">
        <f t="shared" si="10"/>
        <v>27.469706666666667</v>
      </c>
      <c r="O138" s="27">
        <f t="shared" si="11"/>
        <v>1024.7273000779305</v>
      </c>
      <c r="P138" s="85">
        <f t="shared" ref="P138:P141" si="14">SUM(O138+Q138)</f>
        <v>1024.7273000779305</v>
      </c>
      <c r="Q138" s="99"/>
    </row>
    <row r="139" spans="3:17" s="23" customFormat="1" ht="337.5" customHeight="1">
      <c r="C139" s="77" t="s">
        <v>121</v>
      </c>
      <c r="D139" s="76" t="s">
        <v>122</v>
      </c>
      <c r="E139" s="47"/>
      <c r="F139" s="68"/>
      <c r="G139" s="31">
        <v>1.6539999999999999</v>
      </c>
      <c r="H139" s="32">
        <f>(G139*H4*H2)/12</f>
        <v>962.34775933619039</v>
      </c>
      <c r="I139" s="32">
        <v>796.31</v>
      </c>
      <c r="J139" s="30">
        <f t="shared" si="7"/>
        <v>166.03775933619045</v>
      </c>
      <c r="K139" s="108"/>
      <c r="N139" s="91">
        <f t="shared" si="10"/>
        <v>26.508106666666663</v>
      </c>
      <c r="O139" s="27">
        <f t="shared" si="11"/>
        <v>988.85586600285706</v>
      </c>
      <c r="P139" s="85">
        <f t="shared" si="14"/>
        <v>988.85586600285706</v>
      </c>
      <c r="Q139" s="99"/>
    </row>
    <row r="140" spans="3:17" s="23" customFormat="1" ht="15.75" hidden="1">
      <c r="C140" s="77" t="s">
        <v>96</v>
      </c>
      <c r="D140" s="73" t="s">
        <v>97</v>
      </c>
      <c r="E140" s="47">
        <v>609.17999999999995</v>
      </c>
      <c r="F140" s="68" t="e">
        <f>E140-#REF!</f>
        <v>#REF!</v>
      </c>
      <c r="G140" s="31">
        <v>1.3240000000000001</v>
      </c>
      <c r="H140" s="32">
        <f>(G140*H1*K2)/12</f>
        <v>0.1123546199693405</v>
      </c>
      <c r="I140" s="32">
        <v>665.6</v>
      </c>
      <c r="J140" s="30">
        <f t="shared" si="7"/>
        <v>-665.4876453800307</v>
      </c>
      <c r="K140" s="108"/>
      <c r="N140" s="91"/>
      <c r="O140" s="85">
        <f t="shared" si="11"/>
        <v>0.1123546199693405</v>
      </c>
      <c r="P140" s="85">
        <f t="shared" si="14"/>
        <v>0.1123546199693405</v>
      </c>
      <c r="Q140" s="99"/>
    </row>
    <row r="141" spans="3:17" ht="15.75">
      <c r="C141" s="1"/>
      <c r="D141" s="1"/>
      <c r="E141" s="1"/>
      <c r="F141" s="1"/>
      <c r="G141" s="6"/>
      <c r="H141" s="1"/>
      <c r="I141" s="1"/>
      <c r="J141" s="1"/>
      <c r="K141" s="1"/>
      <c r="N141" s="89"/>
      <c r="O141" s="90"/>
      <c r="P141" s="85">
        <f t="shared" si="14"/>
        <v>0</v>
      </c>
    </row>
  </sheetData>
  <mergeCells count="4">
    <mergeCell ref="G1:G2"/>
    <mergeCell ref="J1:J2"/>
    <mergeCell ref="C4:E4"/>
    <mergeCell ref="K5:K140"/>
  </mergeCells>
  <pageMargins left="0.23622047244094491" right="0.23622047244094491" top="0.74803149606299213" bottom="0.74803149606299213" header="0.31496062992125984" footer="0.31496062992125984"/>
  <pageSetup paperSize="9" scale="41" fitToHeight="0" orientation="portrait" r:id="rId1"/>
  <rowBreaks count="4" manualBreakCount="4">
    <brk id="25" max="23" man="1"/>
    <brk id="55" max="23" man="1"/>
    <brk id="104" max="23" man="1"/>
    <brk id="133" max="23" man="1"/>
  </rowBreaks>
  <colBreaks count="1" manualBreakCount="1">
    <brk id="11" max="1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2023 stawki dotacji</vt:lpstr>
      <vt:lpstr>'2023 stawki dotacji'!Obszar_wydruku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2023-05-18T10:21:18Z</cp:lastPrinted>
  <dcterms:created xsi:type="dcterms:W3CDTF">2022-01-04T11:27:47Z</dcterms:created>
  <dcterms:modified xsi:type="dcterms:W3CDTF">2023-08-22T07:38:27Z</dcterms:modified>
</cp:coreProperties>
</file>